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D:\backup_c\Downloads\"/>
    </mc:Choice>
  </mc:AlternateContent>
  <xr:revisionPtr revIDLastSave="0" documentId="13_ncr:1_{61A6452C-65AD-406C-987B-6F3CB718BAA7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Manuale" sheetId="10" r:id="rId1"/>
    <sheet name="Festività" sheetId="3" r:id="rId2"/>
    <sheet name="Tipologie" sheetId="5" r:id="rId3"/>
    <sheet name="Presenze" sheetId="1" r:id="rId4"/>
    <sheet name="Diario" sheetId="6" r:id="rId5"/>
    <sheet name="OreSettimana" sheetId="7" r:id="rId6"/>
  </sheets>
  <definedNames>
    <definedName name="_xlnm._FilterDatabase" localSheetId="3" hidden="1">Presenze!$IJ$381:$IL$382</definedName>
    <definedName name="Anno">Festività!$F$10</definedName>
    <definedName name="_xlnm.Print_Area" localSheetId="4">Diario!$A$1:$AB$210</definedName>
    <definedName name="_xlnm.Print_Area" localSheetId="3">Presenze!$A$1:$BH$38</definedName>
    <definedName name="BoolD">IF(VarD&gt;48,1,0)</definedName>
    <definedName name="Festivita">Festività!$L$16:$L$31</definedName>
    <definedName name="Pasqua" localSheetId="1">DATE([0]!Anno,3,1) + (VarD + BoolD + 6 -(MOD(([0]!Anno + INT([0]!Anno/4) + VarD + BoolD + 1),7)))</definedName>
    <definedName name="Patrono" localSheetId="1">Festività!$L$17</definedName>
    <definedName name="VarD">MOD(((255-(11*MOD([0]!Anno,19)))-21),30)+21</definedName>
  </definedNames>
  <calcPr calcId="191029"/>
</workbook>
</file>

<file path=xl/calcChain.xml><?xml version="1.0" encoding="utf-8"?>
<calcChain xmlns="http://schemas.openxmlformats.org/spreadsheetml/2006/main">
  <c r="X104" i="6" l="1"/>
  <c r="K139" i="6"/>
  <c r="X174" i="6"/>
  <c r="K209" i="6"/>
  <c r="X209" i="6"/>
  <c r="K174" i="6"/>
  <c r="X139" i="6"/>
  <c r="K104" i="6"/>
  <c r="X69" i="6"/>
  <c r="K69" i="6"/>
  <c r="K67" i="6"/>
  <c r="X34" i="6"/>
  <c r="K34" i="6"/>
  <c r="E9" i="7"/>
  <c r="E8" i="7"/>
  <c r="E7" i="7"/>
  <c r="E6" i="7"/>
  <c r="E5" i="7"/>
  <c r="E4" i="7"/>
  <c r="V104" i="6"/>
  <c r="V174" i="6"/>
  <c r="I209" i="6"/>
  <c r="I139" i="6"/>
  <c r="I69" i="6"/>
  <c r="I68" i="6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T27" i="1" s="1"/>
  <c r="W10" i="1"/>
  <c r="X10" i="1"/>
  <c r="Y10" i="1"/>
  <c r="Z10" i="1"/>
  <c r="AA10" i="1"/>
  <c r="AB10" i="1"/>
  <c r="AC10" i="1"/>
  <c r="AD10" i="1"/>
  <c r="AE10" i="1"/>
  <c r="AF10" i="1"/>
  <c r="D11" i="1"/>
  <c r="E11" i="1"/>
  <c r="F11" i="1"/>
  <c r="G11" i="1"/>
  <c r="H11" i="1"/>
  <c r="I11" i="1"/>
  <c r="H28" i="1" s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D13" i="1"/>
  <c r="AB30" i="1" s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D17" i="1"/>
  <c r="E17" i="1"/>
  <c r="F17" i="1"/>
  <c r="AJ34" i="1" s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D18" i="1"/>
  <c r="E18" i="1"/>
  <c r="F18" i="1"/>
  <c r="G18" i="1"/>
  <c r="H18" i="1"/>
  <c r="BL35" i="1" s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D20" i="1"/>
  <c r="BM37" i="1" s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D9" i="1"/>
  <c r="BD26" i="1" s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F27" i="1"/>
  <c r="H27" i="1"/>
  <c r="AN29" i="1"/>
  <c r="AR23" i="1"/>
  <c r="AP23" i="1"/>
  <c r="AN23" i="1"/>
  <c r="AL23" i="1"/>
  <c r="AT23" i="1"/>
  <c r="AT22" i="1"/>
  <c r="AR22" i="1"/>
  <c r="AP22" i="1"/>
  <c r="AN22" i="1"/>
  <c r="AL22" i="1"/>
  <c r="AJ23" i="1"/>
  <c r="F22" i="1"/>
  <c r="F23" i="1"/>
  <c r="AH23" i="1"/>
  <c r="AH22" i="1"/>
  <c r="AJ22" i="1"/>
  <c r="AF23" i="1"/>
  <c r="AF22" i="1"/>
  <c r="AB23" i="1"/>
  <c r="Z23" i="1"/>
  <c r="X23" i="1"/>
  <c r="V23" i="1"/>
  <c r="T23" i="1"/>
  <c r="R23" i="1"/>
  <c r="P23" i="1"/>
  <c r="N23" i="1"/>
  <c r="L23" i="1"/>
  <c r="J23" i="1"/>
  <c r="H23" i="1"/>
  <c r="AB22" i="1"/>
  <c r="Z22" i="1"/>
  <c r="X22" i="1"/>
  <c r="V22" i="1"/>
  <c r="T22" i="1"/>
  <c r="R22" i="1"/>
  <c r="P22" i="1"/>
  <c r="N22" i="1"/>
  <c r="L22" i="1"/>
  <c r="J22" i="1"/>
  <c r="H22" i="1"/>
  <c r="AD22" i="1"/>
  <c r="AD23" i="1"/>
  <c r="E10" i="7"/>
  <c r="BK28" i="1"/>
  <c r="BJ22" i="1"/>
  <c r="BK22" i="1"/>
  <c r="AZ38" i="1"/>
  <c r="C4" i="6"/>
  <c r="I4" i="6" s="1"/>
  <c r="C5" i="6"/>
  <c r="I5" i="6" s="1"/>
  <c r="C6" i="6"/>
  <c r="I6" i="6" s="1"/>
  <c r="C7" i="6"/>
  <c r="I7" i="6" s="1"/>
  <c r="C8" i="6"/>
  <c r="I8" i="6" s="1"/>
  <c r="C9" i="6"/>
  <c r="C10" i="6"/>
  <c r="I10" i="6" s="1"/>
  <c r="C11" i="6"/>
  <c r="I11" i="6" s="1"/>
  <c r="C12" i="6"/>
  <c r="I12" i="6" s="1"/>
  <c r="C13" i="6"/>
  <c r="I13" i="6" s="1"/>
  <c r="C14" i="6"/>
  <c r="I14" i="6" s="1"/>
  <c r="C15" i="6"/>
  <c r="I15" i="6" s="1"/>
  <c r="C16" i="6"/>
  <c r="I16" i="6" s="1"/>
  <c r="C17" i="6"/>
  <c r="I17" i="6" s="1"/>
  <c r="C18" i="6"/>
  <c r="I18" i="6" s="1"/>
  <c r="C19" i="6"/>
  <c r="I19" i="6" s="1"/>
  <c r="C20" i="6"/>
  <c r="I20" i="6" s="1"/>
  <c r="C21" i="6"/>
  <c r="I21" i="6" s="1"/>
  <c r="C22" i="6"/>
  <c r="I22" i="6" s="1"/>
  <c r="C23" i="6"/>
  <c r="I23" i="6" s="1"/>
  <c r="C24" i="6"/>
  <c r="I24" i="6" s="1"/>
  <c r="C25" i="6"/>
  <c r="I25" i="6" s="1"/>
  <c r="C26" i="6"/>
  <c r="I26" i="6" s="1"/>
  <c r="C27" i="6"/>
  <c r="I27" i="6" s="1"/>
  <c r="C28" i="6"/>
  <c r="I28" i="6" s="1"/>
  <c r="C29" i="6"/>
  <c r="I29" i="6" s="1"/>
  <c r="C30" i="6"/>
  <c r="I30" i="6" s="1"/>
  <c r="C31" i="6"/>
  <c r="I31" i="6" s="1"/>
  <c r="C32" i="6"/>
  <c r="I32" i="6" s="1"/>
  <c r="C33" i="6"/>
  <c r="I33" i="6" s="1"/>
  <c r="C34" i="6"/>
  <c r="I34" i="6" s="1"/>
  <c r="C39" i="6"/>
  <c r="I39" i="6" s="1"/>
  <c r="C40" i="6"/>
  <c r="I40" i="6" s="1"/>
  <c r="C41" i="6"/>
  <c r="I41" i="6" s="1"/>
  <c r="C42" i="6"/>
  <c r="I42" i="6" s="1"/>
  <c r="C43" i="6"/>
  <c r="I43" i="6" s="1"/>
  <c r="C44" i="6"/>
  <c r="I44" i="6" s="1"/>
  <c r="C45" i="6"/>
  <c r="I45" i="6" s="1"/>
  <c r="C46" i="6"/>
  <c r="I46" i="6" s="1"/>
  <c r="C47" i="6"/>
  <c r="I47" i="6" s="1"/>
  <c r="C48" i="6"/>
  <c r="I48" i="6" s="1"/>
  <c r="C49" i="6"/>
  <c r="I49" i="6" s="1"/>
  <c r="C50" i="6"/>
  <c r="I50" i="6" s="1"/>
  <c r="C51" i="6"/>
  <c r="I51" i="6" s="1"/>
  <c r="C52" i="6"/>
  <c r="I52" i="6" s="1"/>
  <c r="C53" i="6"/>
  <c r="I53" i="6" s="1"/>
  <c r="C54" i="6"/>
  <c r="I54" i="6" s="1"/>
  <c r="C55" i="6"/>
  <c r="I55" i="6" s="1"/>
  <c r="C56" i="6"/>
  <c r="I56" i="6" s="1"/>
  <c r="C57" i="6"/>
  <c r="I57" i="6" s="1"/>
  <c r="C58" i="6"/>
  <c r="I58" i="6" s="1"/>
  <c r="C59" i="6"/>
  <c r="I59" i="6" s="1"/>
  <c r="C60" i="6"/>
  <c r="I60" i="6" s="1"/>
  <c r="C61" i="6"/>
  <c r="I61" i="6" s="1"/>
  <c r="C62" i="6"/>
  <c r="I62" i="6" s="1"/>
  <c r="C63" i="6"/>
  <c r="I63" i="6" s="1"/>
  <c r="C64" i="6"/>
  <c r="I64" i="6" s="1"/>
  <c r="C65" i="6"/>
  <c r="I65" i="6" s="1"/>
  <c r="C66" i="6"/>
  <c r="I66" i="6" s="1"/>
  <c r="C67" i="6"/>
  <c r="I67" i="6" s="1"/>
  <c r="C74" i="6"/>
  <c r="I74" i="6" s="1"/>
  <c r="C75" i="6"/>
  <c r="I75" i="6" s="1"/>
  <c r="C76" i="6"/>
  <c r="I76" i="6" s="1"/>
  <c r="C77" i="6"/>
  <c r="I77" i="6" s="1"/>
  <c r="C78" i="6"/>
  <c r="I78" i="6" s="1"/>
  <c r="C79" i="6"/>
  <c r="I79" i="6" s="1"/>
  <c r="C80" i="6"/>
  <c r="I80" i="6" s="1"/>
  <c r="C81" i="6"/>
  <c r="I81" i="6" s="1"/>
  <c r="C82" i="6"/>
  <c r="I82" i="6" s="1"/>
  <c r="C83" i="6"/>
  <c r="I83" i="6" s="1"/>
  <c r="C84" i="6"/>
  <c r="I84" i="6" s="1"/>
  <c r="C85" i="6"/>
  <c r="I85" i="6" s="1"/>
  <c r="C86" i="6"/>
  <c r="I86" i="6" s="1"/>
  <c r="C87" i="6"/>
  <c r="I87" i="6" s="1"/>
  <c r="C88" i="6"/>
  <c r="I88" i="6" s="1"/>
  <c r="C89" i="6"/>
  <c r="I89" i="6" s="1"/>
  <c r="C90" i="6"/>
  <c r="I90" i="6" s="1"/>
  <c r="C91" i="6"/>
  <c r="I91" i="6" s="1"/>
  <c r="C92" i="6"/>
  <c r="I92" i="6" s="1"/>
  <c r="C93" i="6"/>
  <c r="I93" i="6" s="1"/>
  <c r="C94" i="6"/>
  <c r="I94" i="6" s="1"/>
  <c r="C95" i="6"/>
  <c r="I95" i="6" s="1"/>
  <c r="C96" i="6"/>
  <c r="I96" i="6" s="1"/>
  <c r="C97" i="6"/>
  <c r="I97" i="6" s="1"/>
  <c r="C98" i="6"/>
  <c r="I98" i="6" s="1"/>
  <c r="C99" i="6"/>
  <c r="I99" i="6" s="1"/>
  <c r="C100" i="6"/>
  <c r="I100" i="6" s="1"/>
  <c r="C101" i="6"/>
  <c r="I101" i="6" s="1"/>
  <c r="C102" i="6"/>
  <c r="I102" i="6" s="1"/>
  <c r="C103" i="6"/>
  <c r="I103" i="6" s="1"/>
  <c r="C104" i="6"/>
  <c r="I104" i="6" s="1"/>
  <c r="C109" i="6"/>
  <c r="I109" i="6" s="1"/>
  <c r="C110" i="6"/>
  <c r="I110" i="6" s="1"/>
  <c r="C111" i="6"/>
  <c r="I111" i="6" s="1"/>
  <c r="C112" i="6"/>
  <c r="I112" i="6" s="1"/>
  <c r="C113" i="6"/>
  <c r="I113" i="6" s="1"/>
  <c r="C114" i="6"/>
  <c r="I114" i="6" s="1"/>
  <c r="C115" i="6"/>
  <c r="I115" i="6" s="1"/>
  <c r="C116" i="6"/>
  <c r="I116" i="6" s="1"/>
  <c r="C117" i="6"/>
  <c r="I117" i="6" s="1"/>
  <c r="C118" i="6"/>
  <c r="I118" i="6" s="1"/>
  <c r="C119" i="6"/>
  <c r="I119" i="6" s="1"/>
  <c r="C120" i="6"/>
  <c r="I120" i="6" s="1"/>
  <c r="C121" i="6"/>
  <c r="I121" i="6" s="1"/>
  <c r="C122" i="6"/>
  <c r="I122" i="6" s="1"/>
  <c r="C123" i="6"/>
  <c r="I123" i="6" s="1"/>
  <c r="C124" i="6"/>
  <c r="I124" i="6" s="1"/>
  <c r="C125" i="6"/>
  <c r="I125" i="6" s="1"/>
  <c r="C126" i="6"/>
  <c r="I126" i="6" s="1"/>
  <c r="C127" i="6"/>
  <c r="I127" i="6" s="1"/>
  <c r="C128" i="6"/>
  <c r="I128" i="6" s="1"/>
  <c r="C129" i="6"/>
  <c r="I129" i="6" s="1"/>
  <c r="C130" i="6"/>
  <c r="I130" i="6" s="1"/>
  <c r="C131" i="6"/>
  <c r="I131" i="6" s="1"/>
  <c r="C132" i="6"/>
  <c r="I132" i="6" s="1"/>
  <c r="C133" i="6"/>
  <c r="I133" i="6" s="1"/>
  <c r="C134" i="6"/>
  <c r="I134" i="6" s="1"/>
  <c r="C135" i="6"/>
  <c r="I135" i="6" s="1"/>
  <c r="C136" i="6"/>
  <c r="I136" i="6" s="1"/>
  <c r="C137" i="6"/>
  <c r="I137" i="6" s="1"/>
  <c r="C138" i="6"/>
  <c r="I138" i="6" s="1"/>
  <c r="C144" i="6"/>
  <c r="I144" i="6" s="1"/>
  <c r="C145" i="6"/>
  <c r="I145" i="6" s="1"/>
  <c r="C146" i="6"/>
  <c r="I146" i="6" s="1"/>
  <c r="C147" i="6"/>
  <c r="I147" i="6" s="1"/>
  <c r="C148" i="6"/>
  <c r="D148" i="6" s="1"/>
  <c r="C149" i="6"/>
  <c r="I149" i="6" s="1"/>
  <c r="C150" i="6"/>
  <c r="I150" i="6" s="1"/>
  <c r="C151" i="6"/>
  <c r="I151" i="6" s="1"/>
  <c r="C152" i="6"/>
  <c r="I152" i="6" s="1"/>
  <c r="C153" i="6"/>
  <c r="I153" i="6" s="1"/>
  <c r="C154" i="6"/>
  <c r="I154" i="6" s="1"/>
  <c r="C155" i="6"/>
  <c r="I155" i="6" s="1"/>
  <c r="C156" i="6"/>
  <c r="I156" i="6" s="1"/>
  <c r="C157" i="6"/>
  <c r="I157" i="6" s="1"/>
  <c r="C158" i="6"/>
  <c r="I158" i="6" s="1"/>
  <c r="C159" i="6"/>
  <c r="I159" i="6" s="1"/>
  <c r="C160" i="6"/>
  <c r="I160" i="6" s="1"/>
  <c r="C161" i="6"/>
  <c r="I161" i="6" s="1"/>
  <c r="C162" i="6"/>
  <c r="I162" i="6" s="1"/>
  <c r="C163" i="6"/>
  <c r="I163" i="6" s="1"/>
  <c r="C164" i="6"/>
  <c r="I164" i="6" s="1"/>
  <c r="C165" i="6"/>
  <c r="I165" i="6" s="1"/>
  <c r="C166" i="6"/>
  <c r="I166" i="6" s="1"/>
  <c r="C167" i="6"/>
  <c r="I167" i="6" s="1"/>
  <c r="C168" i="6"/>
  <c r="I168" i="6" s="1"/>
  <c r="C169" i="6"/>
  <c r="I169" i="6" s="1"/>
  <c r="C170" i="6"/>
  <c r="I170" i="6" s="1"/>
  <c r="C171" i="6"/>
  <c r="I171" i="6" s="1"/>
  <c r="C172" i="6"/>
  <c r="I172" i="6" s="1"/>
  <c r="C173" i="6"/>
  <c r="I173" i="6" s="1"/>
  <c r="C174" i="6"/>
  <c r="I174" i="6" s="1"/>
  <c r="C179" i="6"/>
  <c r="I179" i="6" s="1"/>
  <c r="C180" i="6"/>
  <c r="I180" i="6" s="1"/>
  <c r="C181" i="6"/>
  <c r="I181" i="6" s="1"/>
  <c r="C182" i="6"/>
  <c r="I182" i="6" s="1"/>
  <c r="C183" i="6"/>
  <c r="I183" i="6" s="1"/>
  <c r="C184" i="6"/>
  <c r="I184" i="6" s="1"/>
  <c r="C185" i="6"/>
  <c r="I185" i="6" s="1"/>
  <c r="C186" i="6"/>
  <c r="I186" i="6" s="1"/>
  <c r="C187" i="6"/>
  <c r="I187" i="6" s="1"/>
  <c r="C188" i="6"/>
  <c r="I188" i="6" s="1"/>
  <c r="C189" i="6"/>
  <c r="I189" i="6" s="1"/>
  <c r="C190" i="6"/>
  <c r="I190" i="6" s="1"/>
  <c r="C191" i="6"/>
  <c r="I191" i="6" s="1"/>
  <c r="C192" i="6"/>
  <c r="I192" i="6" s="1"/>
  <c r="C193" i="6"/>
  <c r="I193" i="6" s="1"/>
  <c r="C194" i="6"/>
  <c r="I194" i="6" s="1"/>
  <c r="C195" i="6"/>
  <c r="I195" i="6" s="1"/>
  <c r="C196" i="6"/>
  <c r="I196" i="6" s="1"/>
  <c r="C197" i="6"/>
  <c r="I197" i="6" s="1"/>
  <c r="C198" i="6"/>
  <c r="I198" i="6" s="1"/>
  <c r="C199" i="6"/>
  <c r="I199" i="6" s="1"/>
  <c r="C200" i="6"/>
  <c r="I200" i="6" s="1"/>
  <c r="C201" i="6"/>
  <c r="I201" i="6" s="1"/>
  <c r="C202" i="6"/>
  <c r="I202" i="6" s="1"/>
  <c r="C203" i="6"/>
  <c r="I203" i="6" s="1"/>
  <c r="C204" i="6"/>
  <c r="I204" i="6" s="1"/>
  <c r="C205" i="6"/>
  <c r="I205" i="6" s="1"/>
  <c r="C206" i="6"/>
  <c r="I206" i="6" s="1"/>
  <c r="C207" i="6"/>
  <c r="I207" i="6" s="1"/>
  <c r="C208" i="6"/>
  <c r="I208" i="6" s="1"/>
  <c r="AD34" i="1"/>
  <c r="AB179" i="6"/>
  <c r="AB210" i="6" s="1"/>
  <c r="AB180" i="6"/>
  <c r="AB181" i="6"/>
  <c r="AB182" i="6"/>
  <c r="AB183" i="6"/>
  <c r="AB184" i="6"/>
  <c r="AB185" i="6"/>
  <c r="AB186" i="6"/>
  <c r="AB187" i="6"/>
  <c r="AB188" i="6"/>
  <c r="AB189" i="6"/>
  <c r="AB190" i="6"/>
  <c r="AB191" i="6"/>
  <c r="AB192" i="6"/>
  <c r="AB193" i="6"/>
  <c r="AB194" i="6"/>
  <c r="AB195" i="6"/>
  <c r="AB196" i="6"/>
  <c r="AB197" i="6"/>
  <c r="AB198" i="6"/>
  <c r="AB199" i="6"/>
  <c r="AB200" i="6"/>
  <c r="AB201" i="6"/>
  <c r="AB202" i="6"/>
  <c r="AB203" i="6"/>
  <c r="AB204" i="6"/>
  <c r="AB205" i="6"/>
  <c r="AB206" i="6"/>
  <c r="AB207" i="6"/>
  <c r="AB208" i="6"/>
  <c r="AB209" i="6"/>
  <c r="P209" i="6"/>
  <c r="V209" i="6" s="1"/>
  <c r="P208" i="6"/>
  <c r="V208" i="6" s="1"/>
  <c r="P207" i="6"/>
  <c r="V207" i="6" s="1"/>
  <c r="P206" i="6"/>
  <c r="V206" i="6" s="1"/>
  <c r="P205" i="6"/>
  <c r="V205" i="6" s="1"/>
  <c r="P204" i="6"/>
  <c r="V204" i="6" s="1"/>
  <c r="P203" i="6"/>
  <c r="V203" i="6" s="1"/>
  <c r="P202" i="6"/>
  <c r="V202" i="6" s="1"/>
  <c r="P201" i="6"/>
  <c r="V201" i="6" s="1"/>
  <c r="P200" i="6"/>
  <c r="V200" i="6" s="1"/>
  <c r="P199" i="6"/>
  <c r="V199" i="6" s="1"/>
  <c r="P198" i="6"/>
  <c r="V198" i="6" s="1"/>
  <c r="P197" i="6"/>
  <c r="Q197" i="6" s="1"/>
  <c r="P196" i="6"/>
  <c r="V196" i="6" s="1"/>
  <c r="P195" i="6"/>
  <c r="V195" i="6" s="1"/>
  <c r="P194" i="6"/>
  <c r="V194" i="6" s="1"/>
  <c r="P193" i="6"/>
  <c r="V193" i="6" s="1"/>
  <c r="P192" i="6"/>
  <c r="V192" i="6" s="1"/>
  <c r="Q192" i="6"/>
  <c r="P191" i="6"/>
  <c r="V191" i="6" s="1"/>
  <c r="P190" i="6"/>
  <c r="V190" i="6" s="1"/>
  <c r="P189" i="6"/>
  <c r="V189" i="6" s="1"/>
  <c r="P188" i="6"/>
  <c r="Q188" i="6" s="1"/>
  <c r="P187" i="6"/>
  <c r="Q187" i="6" s="1"/>
  <c r="P186" i="6"/>
  <c r="V186" i="6" s="1"/>
  <c r="P185" i="6"/>
  <c r="Q185" i="6" s="1"/>
  <c r="P184" i="6"/>
  <c r="V184" i="6" s="1"/>
  <c r="P183" i="6"/>
  <c r="V183" i="6" s="1"/>
  <c r="P182" i="6"/>
  <c r="Q182" i="6" s="1"/>
  <c r="P181" i="6"/>
  <c r="V181" i="6" s="1"/>
  <c r="P180" i="6"/>
  <c r="V180" i="6" s="1"/>
  <c r="P179" i="6"/>
  <c r="V179" i="6" s="1"/>
  <c r="AB144" i="6"/>
  <c r="AB145" i="6"/>
  <c r="AB146" i="6"/>
  <c r="AB147" i="6"/>
  <c r="AB175" i="6" s="1"/>
  <c r="AB148" i="6"/>
  <c r="AB149" i="6"/>
  <c r="AB150" i="6"/>
  <c r="AB151" i="6"/>
  <c r="AB152" i="6"/>
  <c r="AB153" i="6"/>
  <c r="AB154" i="6"/>
  <c r="AB155" i="6"/>
  <c r="AB156" i="6"/>
  <c r="AB157" i="6"/>
  <c r="AB158" i="6"/>
  <c r="AB159" i="6"/>
  <c r="AB160" i="6"/>
  <c r="AB161" i="6"/>
  <c r="AB162" i="6"/>
  <c r="AB163" i="6"/>
  <c r="AB164" i="6"/>
  <c r="AB165" i="6"/>
  <c r="AB166" i="6"/>
  <c r="AB167" i="6"/>
  <c r="AB168" i="6"/>
  <c r="AB169" i="6"/>
  <c r="AB170" i="6"/>
  <c r="AB171" i="6"/>
  <c r="AB172" i="6"/>
  <c r="AB173" i="6"/>
  <c r="AB174" i="6"/>
  <c r="P173" i="6"/>
  <c r="V173" i="6" s="1"/>
  <c r="P172" i="6"/>
  <c r="V172" i="6" s="1"/>
  <c r="P171" i="6"/>
  <c r="V171" i="6" s="1"/>
  <c r="P170" i="6"/>
  <c r="V170" i="6" s="1"/>
  <c r="P169" i="6"/>
  <c r="Q169" i="6" s="1"/>
  <c r="P168" i="6"/>
  <c r="Q168" i="6" s="1"/>
  <c r="P167" i="6"/>
  <c r="V167" i="6" s="1"/>
  <c r="P166" i="6"/>
  <c r="V166" i="6" s="1"/>
  <c r="P165" i="6"/>
  <c r="V165" i="6" s="1"/>
  <c r="P164" i="6"/>
  <c r="V164" i="6" s="1"/>
  <c r="P163" i="6"/>
  <c r="Q163" i="6" s="1"/>
  <c r="P162" i="6"/>
  <c r="Q162" i="6" s="1"/>
  <c r="P161" i="6"/>
  <c r="V161" i="6" s="1"/>
  <c r="P160" i="6"/>
  <c r="V160" i="6" s="1"/>
  <c r="P159" i="6"/>
  <c r="V159" i="6" s="1"/>
  <c r="P158" i="6"/>
  <c r="V158" i="6" s="1"/>
  <c r="P157" i="6"/>
  <c r="Q157" i="6" s="1"/>
  <c r="P156" i="6"/>
  <c r="Q156" i="6" s="1"/>
  <c r="P155" i="6"/>
  <c r="Q155" i="6" s="1"/>
  <c r="P154" i="6"/>
  <c r="V154" i="6" s="1"/>
  <c r="P153" i="6"/>
  <c r="V153" i="6" s="1"/>
  <c r="P152" i="6"/>
  <c r="V152" i="6" s="1"/>
  <c r="Q152" i="6"/>
  <c r="P151" i="6"/>
  <c r="Q151" i="6" s="1"/>
  <c r="P150" i="6"/>
  <c r="Q150" i="6" s="1"/>
  <c r="P149" i="6"/>
  <c r="V149" i="6" s="1"/>
  <c r="P148" i="6"/>
  <c r="V148" i="6" s="1"/>
  <c r="P147" i="6"/>
  <c r="V147" i="6" s="1"/>
  <c r="P146" i="6"/>
  <c r="V146" i="6" s="1"/>
  <c r="P145" i="6"/>
  <c r="Q145" i="6" s="1"/>
  <c r="P144" i="6"/>
  <c r="Q144" i="6" s="1"/>
  <c r="AB109" i="6"/>
  <c r="AB110" i="6"/>
  <c r="AB111" i="6"/>
  <c r="AB140" i="6" s="1"/>
  <c r="AB112" i="6"/>
  <c r="AB113" i="6"/>
  <c r="AB114" i="6"/>
  <c r="AB115" i="6"/>
  <c r="AB116" i="6"/>
  <c r="AB117" i="6"/>
  <c r="AB118" i="6"/>
  <c r="AB119" i="6"/>
  <c r="AB120" i="6"/>
  <c r="AB121" i="6"/>
  <c r="AB122" i="6"/>
  <c r="AB123" i="6"/>
  <c r="AB124" i="6"/>
  <c r="AB125" i="6"/>
  <c r="AB126" i="6"/>
  <c r="AB127" i="6"/>
  <c r="AB128" i="6"/>
  <c r="AB129" i="6"/>
  <c r="AB130" i="6"/>
  <c r="AB131" i="6"/>
  <c r="AB132" i="6"/>
  <c r="AB133" i="6"/>
  <c r="AB134" i="6"/>
  <c r="AB135" i="6"/>
  <c r="AB136" i="6"/>
  <c r="AB137" i="6"/>
  <c r="AB138" i="6"/>
  <c r="AB139" i="6"/>
  <c r="P139" i="6"/>
  <c r="Q139" i="6" s="1"/>
  <c r="P138" i="6"/>
  <c r="Q138" i="6" s="1"/>
  <c r="P137" i="6"/>
  <c r="V137" i="6" s="1"/>
  <c r="P136" i="6"/>
  <c r="V136" i="6" s="1"/>
  <c r="P135" i="6"/>
  <c r="V135" i="6" s="1"/>
  <c r="P134" i="6"/>
  <c r="V134" i="6" s="1"/>
  <c r="Q134" i="6"/>
  <c r="P133" i="6"/>
  <c r="Q133" i="6" s="1"/>
  <c r="P132" i="6"/>
  <c r="Q132" i="6" s="1"/>
  <c r="P131" i="6"/>
  <c r="V131" i="6" s="1"/>
  <c r="P130" i="6"/>
  <c r="V130" i="6" s="1"/>
  <c r="P129" i="6"/>
  <c r="V129" i="6" s="1"/>
  <c r="P128" i="6"/>
  <c r="V128" i="6" s="1"/>
  <c r="P127" i="6"/>
  <c r="Q127" i="6" s="1"/>
  <c r="P126" i="6"/>
  <c r="Q126" i="6" s="1"/>
  <c r="P125" i="6"/>
  <c r="Q125" i="6" s="1"/>
  <c r="P124" i="6"/>
  <c r="V124" i="6" s="1"/>
  <c r="P123" i="6"/>
  <c r="V123" i="6" s="1"/>
  <c r="P122" i="6"/>
  <c r="V122" i="6" s="1"/>
  <c r="P121" i="6"/>
  <c r="Q121" i="6" s="1"/>
  <c r="P120" i="6"/>
  <c r="Q120" i="6" s="1"/>
  <c r="P119" i="6"/>
  <c r="V119" i="6" s="1"/>
  <c r="P118" i="6"/>
  <c r="V118" i="6" s="1"/>
  <c r="P117" i="6"/>
  <c r="V117" i="6" s="1"/>
  <c r="P116" i="6"/>
  <c r="V116" i="6" s="1"/>
  <c r="P115" i="6"/>
  <c r="Q115" i="6" s="1"/>
  <c r="P114" i="6"/>
  <c r="Q114" i="6" s="1"/>
  <c r="P113" i="6"/>
  <c r="V113" i="6" s="1"/>
  <c r="P112" i="6"/>
  <c r="V112" i="6" s="1"/>
  <c r="P111" i="6"/>
  <c r="V111" i="6" s="1"/>
  <c r="P110" i="6"/>
  <c r="V110" i="6" s="1"/>
  <c r="P109" i="6"/>
  <c r="Q109" i="6" s="1"/>
  <c r="AB74" i="6"/>
  <c r="AB75" i="6"/>
  <c r="AB76" i="6"/>
  <c r="AB77" i="6"/>
  <c r="AB78" i="6"/>
  <c r="AB79" i="6"/>
  <c r="AB80" i="6"/>
  <c r="AB105" i="6" s="1"/>
  <c r="AB81" i="6"/>
  <c r="AB82" i="6"/>
  <c r="AB83" i="6"/>
  <c r="AB84" i="6"/>
  <c r="AB85" i="6"/>
  <c r="AB86" i="6"/>
  <c r="AB87" i="6"/>
  <c r="AB88" i="6"/>
  <c r="AB89" i="6"/>
  <c r="AB90" i="6"/>
  <c r="AB91" i="6"/>
  <c r="AB92" i="6"/>
  <c r="AB93" i="6"/>
  <c r="AB94" i="6"/>
  <c r="AB95" i="6"/>
  <c r="AB96" i="6"/>
  <c r="AB97" i="6"/>
  <c r="AB98" i="6"/>
  <c r="AB99" i="6"/>
  <c r="AB100" i="6"/>
  <c r="AB101" i="6"/>
  <c r="AB102" i="6"/>
  <c r="AB103" i="6"/>
  <c r="AB104" i="6"/>
  <c r="P103" i="6"/>
  <c r="V103" i="6" s="1"/>
  <c r="P102" i="6"/>
  <c r="Q102" i="6" s="1"/>
  <c r="P101" i="6"/>
  <c r="Q101" i="6" s="1"/>
  <c r="P100" i="6"/>
  <c r="V100" i="6" s="1"/>
  <c r="P99" i="6"/>
  <c r="V99" i="6" s="1"/>
  <c r="P98" i="6"/>
  <c r="V98" i="6" s="1"/>
  <c r="P97" i="6"/>
  <c r="V97" i="6" s="1"/>
  <c r="P96" i="6"/>
  <c r="Q96" i="6" s="1"/>
  <c r="P95" i="6"/>
  <c r="Q95" i="6" s="1"/>
  <c r="P94" i="6"/>
  <c r="V94" i="6" s="1"/>
  <c r="P93" i="6"/>
  <c r="V93" i="6" s="1"/>
  <c r="P92" i="6"/>
  <c r="V92" i="6" s="1"/>
  <c r="P91" i="6"/>
  <c r="V91" i="6" s="1"/>
  <c r="P90" i="6"/>
  <c r="Q90" i="6" s="1"/>
  <c r="P89" i="6"/>
  <c r="Q89" i="6" s="1"/>
  <c r="P88" i="6"/>
  <c r="V88" i="6" s="1"/>
  <c r="P87" i="6"/>
  <c r="V87" i="6" s="1"/>
  <c r="P86" i="6"/>
  <c r="V86" i="6" s="1"/>
  <c r="P85" i="6"/>
  <c r="V85" i="6" s="1"/>
  <c r="P84" i="6"/>
  <c r="Q84" i="6" s="1"/>
  <c r="P83" i="6"/>
  <c r="Q83" i="6" s="1"/>
  <c r="P82" i="6"/>
  <c r="V82" i="6" s="1"/>
  <c r="P81" i="6"/>
  <c r="V81" i="6" s="1"/>
  <c r="P80" i="6"/>
  <c r="V80" i="6" s="1"/>
  <c r="P79" i="6"/>
  <c r="V79" i="6" s="1"/>
  <c r="P78" i="6"/>
  <c r="Q78" i="6" s="1"/>
  <c r="P77" i="6"/>
  <c r="Q77" i="6" s="1"/>
  <c r="P76" i="6"/>
  <c r="V76" i="6" s="1"/>
  <c r="P75" i="6"/>
  <c r="V75" i="6" s="1"/>
  <c r="P74" i="6"/>
  <c r="V74" i="6" s="1"/>
  <c r="AB39" i="6"/>
  <c r="AB40" i="6"/>
  <c r="AB41" i="6"/>
  <c r="AB42" i="6"/>
  <c r="AB43" i="6"/>
  <c r="AB44" i="6"/>
  <c r="AB45" i="6"/>
  <c r="AB46" i="6"/>
  <c r="AB47" i="6"/>
  <c r="AB48" i="6"/>
  <c r="AB49" i="6"/>
  <c r="AB50" i="6"/>
  <c r="AB51" i="6"/>
  <c r="AB52" i="6"/>
  <c r="AB53" i="6"/>
  <c r="AB54" i="6"/>
  <c r="AB55" i="6"/>
  <c r="AB56" i="6"/>
  <c r="AB57" i="6"/>
  <c r="AB58" i="6"/>
  <c r="AB59" i="6"/>
  <c r="AB60" i="6"/>
  <c r="AB61" i="6"/>
  <c r="AB62" i="6"/>
  <c r="AB63" i="6"/>
  <c r="AB64" i="6"/>
  <c r="AB65" i="6"/>
  <c r="AB66" i="6"/>
  <c r="AB67" i="6"/>
  <c r="AB68" i="6"/>
  <c r="AB69" i="6"/>
  <c r="AB70" i="6"/>
  <c r="P69" i="6"/>
  <c r="V69" i="6" s="1"/>
  <c r="P68" i="6"/>
  <c r="V68" i="6" s="1"/>
  <c r="P67" i="6"/>
  <c r="V67" i="6" s="1"/>
  <c r="P66" i="6"/>
  <c r="Q66" i="6" s="1"/>
  <c r="P65" i="6"/>
  <c r="Q65" i="6" s="1"/>
  <c r="P64" i="6"/>
  <c r="V64" i="6" s="1"/>
  <c r="P63" i="6"/>
  <c r="V63" i="6" s="1"/>
  <c r="P62" i="6"/>
  <c r="V62" i="6" s="1"/>
  <c r="P61" i="6"/>
  <c r="V61" i="6" s="1"/>
  <c r="P60" i="6"/>
  <c r="Q60" i="6" s="1"/>
  <c r="P59" i="6"/>
  <c r="Q59" i="6" s="1"/>
  <c r="P58" i="6"/>
  <c r="Q58" i="6" s="1"/>
  <c r="P57" i="6"/>
  <c r="V57" i="6" s="1"/>
  <c r="P56" i="6"/>
  <c r="V56" i="6" s="1"/>
  <c r="P55" i="6"/>
  <c r="V55" i="6" s="1"/>
  <c r="Q55" i="6"/>
  <c r="P54" i="6"/>
  <c r="Q54" i="6" s="1"/>
  <c r="P53" i="6"/>
  <c r="Q53" i="6" s="1"/>
  <c r="P52" i="6"/>
  <c r="V52" i="6" s="1"/>
  <c r="P51" i="6"/>
  <c r="V51" i="6" s="1"/>
  <c r="P50" i="6"/>
  <c r="V50" i="6" s="1"/>
  <c r="P49" i="6"/>
  <c r="V49" i="6" s="1"/>
  <c r="P48" i="6"/>
  <c r="Q48" i="6" s="1"/>
  <c r="P47" i="6"/>
  <c r="Q47" i="6" s="1"/>
  <c r="P46" i="6"/>
  <c r="Q46" i="6" s="1"/>
  <c r="P45" i="6"/>
  <c r="V45" i="6" s="1"/>
  <c r="P44" i="6"/>
  <c r="V44" i="6" s="1"/>
  <c r="P43" i="6"/>
  <c r="V43" i="6" s="1"/>
  <c r="P42" i="6"/>
  <c r="Q42" i="6" s="1"/>
  <c r="P41" i="6"/>
  <c r="Q41" i="6" s="1"/>
  <c r="P40" i="6"/>
  <c r="V40" i="6" s="1"/>
  <c r="P39" i="6"/>
  <c r="V39" i="6" s="1"/>
  <c r="AB4" i="6"/>
  <c r="AB5" i="6"/>
  <c r="AB6" i="6"/>
  <c r="AB7" i="6"/>
  <c r="AB8" i="6"/>
  <c r="AB35" i="6" s="1"/>
  <c r="AB9" i="6"/>
  <c r="AB10" i="6"/>
  <c r="AB11" i="6"/>
  <c r="AB12" i="6"/>
  <c r="AB13" i="6"/>
  <c r="AB14" i="6"/>
  <c r="AB15" i="6"/>
  <c r="AB16" i="6"/>
  <c r="AB17" i="6"/>
  <c r="AB18" i="6"/>
  <c r="AB19" i="6"/>
  <c r="AB20" i="6"/>
  <c r="AB21" i="6"/>
  <c r="AB22" i="6"/>
  <c r="AB23" i="6"/>
  <c r="AB24" i="6"/>
  <c r="AB25" i="6"/>
  <c r="AB26" i="6"/>
  <c r="AB27" i="6"/>
  <c r="AB28" i="6"/>
  <c r="AB29" i="6"/>
  <c r="AB30" i="6"/>
  <c r="AB31" i="6"/>
  <c r="AB32" i="6"/>
  <c r="AB33" i="6"/>
  <c r="AB34" i="6"/>
  <c r="P34" i="6"/>
  <c r="V34" i="6" s="1"/>
  <c r="P33" i="6"/>
  <c r="V33" i="6" s="1"/>
  <c r="P32" i="6"/>
  <c r="V32" i="6" s="1"/>
  <c r="P31" i="6"/>
  <c r="V31" i="6" s="1"/>
  <c r="P30" i="6"/>
  <c r="Q30" i="6" s="1"/>
  <c r="P29" i="6"/>
  <c r="Q29" i="6" s="1"/>
  <c r="P28" i="6"/>
  <c r="Q28" i="6" s="1"/>
  <c r="P27" i="6"/>
  <c r="V27" i="6" s="1"/>
  <c r="P26" i="6"/>
  <c r="V26" i="6" s="1"/>
  <c r="P25" i="6"/>
  <c r="V25" i="6" s="1"/>
  <c r="P24" i="6"/>
  <c r="Q24" i="6" s="1"/>
  <c r="P23" i="6"/>
  <c r="Q23" i="6" s="1"/>
  <c r="P22" i="6"/>
  <c r="V22" i="6" s="1"/>
  <c r="P21" i="6"/>
  <c r="V21" i="6" s="1"/>
  <c r="P20" i="6"/>
  <c r="V20" i="6" s="1"/>
  <c r="P19" i="6"/>
  <c r="V19" i="6" s="1"/>
  <c r="P18" i="6"/>
  <c r="Q18" i="6" s="1"/>
  <c r="P17" i="6"/>
  <c r="Q17" i="6" s="1"/>
  <c r="P16" i="6"/>
  <c r="Q16" i="6" s="1"/>
  <c r="P15" i="6"/>
  <c r="V15" i="6" s="1"/>
  <c r="P14" i="6"/>
  <c r="V14" i="6" s="1"/>
  <c r="P13" i="6"/>
  <c r="V13" i="6" s="1"/>
  <c r="P12" i="6"/>
  <c r="Q12" i="6" s="1"/>
  <c r="P11" i="6"/>
  <c r="Q11" i="6" s="1"/>
  <c r="P10" i="6"/>
  <c r="V10" i="6" s="1"/>
  <c r="P9" i="6"/>
  <c r="V9" i="6" s="1"/>
  <c r="P8" i="6"/>
  <c r="V8" i="6" s="1"/>
  <c r="P7" i="6"/>
  <c r="V7" i="6" s="1"/>
  <c r="P6" i="6"/>
  <c r="Q6" i="6" s="1"/>
  <c r="P5" i="6"/>
  <c r="Q5" i="6" s="1"/>
  <c r="P4" i="6"/>
  <c r="Q4" i="6" s="1"/>
  <c r="D67" i="6"/>
  <c r="O191" i="6"/>
  <c r="D174" i="6"/>
  <c r="D180" i="6"/>
  <c r="D182" i="6"/>
  <c r="D183" i="6"/>
  <c r="D184" i="6"/>
  <c r="D185" i="6"/>
  <c r="D187" i="6"/>
  <c r="D190" i="6"/>
  <c r="D191" i="6"/>
  <c r="D192" i="6"/>
  <c r="D193" i="6"/>
  <c r="D194" i="6"/>
  <c r="D198" i="6"/>
  <c r="D199" i="6"/>
  <c r="D203" i="6"/>
  <c r="D204" i="6"/>
  <c r="D205" i="6"/>
  <c r="D206" i="6"/>
  <c r="D208" i="6"/>
  <c r="O180" i="6"/>
  <c r="O181" i="6"/>
  <c r="O182" i="6"/>
  <c r="O210" i="6" s="1"/>
  <c r="O183" i="6"/>
  <c r="O184" i="6"/>
  <c r="O185" i="6"/>
  <c r="O186" i="6"/>
  <c r="O187" i="6"/>
  <c r="O188" i="6"/>
  <c r="O189" i="6"/>
  <c r="O190" i="6"/>
  <c r="O192" i="6"/>
  <c r="O193" i="6"/>
  <c r="O194" i="6"/>
  <c r="O195" i="6"/>
  <c r="O196" i="6"/>
  <c r="O197" i="6"/>
  <c r="O198" i="6"/>
  <c r="O199" i="6"/>
  <c r="O200" i="6"/>
  <c r="O201" i="6"/>
  <c r="O202" i="6"/>
  <c r="O203" i="6"/>
  <c r="O204" i="6"/>
  <c r="O205" i="6"/>
  <c r="O206" i="6"/>
  <c r="O207" i="6"/>
  <c r="O208" i="6"/>
  <c r="O209" i="6"/>
  <c r="O179" i="6"/>
  <c r="O145" i="6"/>
  <c r="O146" i="6"/>
  <c r="O147" i="6"/>
  <c r="O148" i="6"/>
  <c r="O149" i="6"/>
  <c r="O175" i="6" s="1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44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09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74" i="6"/>
  <c r="O105" i="6" s="1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39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4" i="6"/>
  <c r="D4" i="6"/>
  <c r="D5" i="6"/>
  <c r="D6" i="6"/>
  <c r="D7" i="6"/>
  <c r="D8" i="6"/>
  <c r="D9" i="6"/>
  <c r="D11" i="6"/>
  <c r="D12" i="6"/>
  <c r="D13" i="6"/>
  <c r="D14" i="6"/>
  <c r="D15" i="6"/>
  <c r="D16" i="6"/>
  <c r="D17" i="6"/>
  <c r="D18" i="6"/>
  <c r="D19" i="6"/>
  <c r="D20" i="6"/>
  <c r="D21" i="6"/>
  <c r="D23" i="6"/>
  <c r="D24" i="6"/>
  <c r="D25" i="6"/>
  <c r="D27" i="6"/>
  <c r="D28" i="6"/>
  <c r="D29" i="6"/>
  <c r="D30" i="6"/>
  <c r="D31" i="6"/>
  <c r="D32" i="6"/>
  <c r="D34" i="6"/>
  <c r="D40" i="6"/>
  <c r="D41" i="6"/>
  <c r="D42" i="6"/>
  <c r="D43" i="6"/>
  <c r="D44" i="6"/>
  <c r="D45" i="6"/>
  <c r="D46" i="6"/>
  <c r="D47" i="6"/>
  <c r="D51" i="6"/>
  <c r="D52" i="6"/>
  <c r="D53" i="6"/>
  <c r="D54" i="6"/>
  <c r="D56" i="6"/>
  <c r="D57" i="6"/>
  <c r="D58" i="6"/>
  <c r="D59" i="6"/>
  <c r="D60" i="6"/>
  <c r="D63" i="6"/>
  <c r="D64" i="6"/>
  <c r="D65" i="6"/>
  <c r="D74" i="6"/>
  <c r="D75" i="6"/>
  <c r="D76" i="6"/>
  <c r="D77" i="6"/>
  <c r="D78" i="6"/>
  <c r="D81" i="6"/>
  <c r="D82" i="6"/>
  <c r="D83" i="6"/>
  <c r="D84" i="6"/>
  <c r="D85" i="6"/>
  <c r="D86" i="6"/>
  <c r="D87" i="6"/>
  <c r="D89" i="6"/>
  <c r="D90" i="6"/>
  <c r="D93" i="6"/>
  <c r="D94" i="6"/>
  <c r="D95" i="6"/>
  <c r="D96" i="6"/>
  <c r="D97" i="6"/>
  <c r="D98" i="6"/>
  <c r="D99" i="6"/>
  <c r="D100" i="6"/>
  <c r="D101" i="6"/>
  <c r="D109" i="6"/>
  <c r="D110" i="6"/>
  <c r="D111" i="6"/>
  <c r="D112" i="6"/>
  <c r="D113" i="6"/>
  <c r="D114" i="6"/>
  <c r="D115" i="6"/>
  <c r="D116" i="6"/>
  <c r="D117" i="6"/>
  <c r="D118" i="6"/>
  <c r="D121" i="6"/>
  <c r="D122" i="6"/>
  <c r="D123" i="6"/>
  <c r="D125" i="6"/>
  <c r="D126" i="6"/>
  <c r="D127" i="6"/>
  <c r="D207" i="6"/>
  <c r="D196" i="6"/>
  <c r="D171" i="6"/>
  <c r="D170" i="6"/>
  <c r="D169" i="6"/>
  <c r="D168" i="6"/>
  <c r="D167" i="6"/>
  <c r="D165" i="6"/>
  <c r="D164" i="6"/>
  <c r="D163" i="6"/>
  <c r="D162" i="6"/>
  <c r="D158" i="6"/>
  <c r="D157" i="6"/>
  <c r="D156" i="6"/>
  <c r="D155" i="6"/>
  <c r="D154" i="6"/>
  <c r="D153" i="6"/>
  <c r="D152" i="6"/>
  <c r="D151" i="6"/>
  <c r="D149" i="6"/>
  <c r="D147" i="6"/>
  <c r="D146" i="6"/>
  <c r="D144" i="6"/>
  <c r="D137" i="6"/>
  <c r="D136" i="6"/>
  <c r="D135" i="6"/>
  <c r="D134" i="6"/>
  <c r="D133" i="6"/>
  <c r="D130" i="6"/>
  <c r="D129" i="6"/>
  <c r="D128" i="6"/>
  <c r="BB34" i="1"/>
  <c r="BD36" i="1"/>
  <c r="D22" i="1"/>
  <c r="D23" i="1"/>
  <c r="L30" i="3"/>
  <c r="L27" i="3"/>
  <c r="L28" i="3"/>
  <c r="L29" i="3"/>
  <c r="L25" i="3"/>
  <c r="L16" i="3"/>
  <c r="L20" i="3"/>
  <c r="L18" i="3"/>
  <c r="L17" i="3"/>
  <c r="L21" i="3"/>
  <c r="L26" i="3"/>
  <c r="L23" i="3"/>
  <c r="L22" i="3"/>
  <c r="L24" i="3"/>
  <c r="L19" i="3"/>
  <c r="L31" i="3"/>
  <c r="F31" i="3" s="1"/>
  <c r="C2" i="1"/>
  <c r="BA35" i="1"/>
  <c r="BB31" i="1"/>
  <c r="BA31" i="1"/>
  <c r="BD31" i="1"/>
  <c r="D39" i="6"/>
  <c r="BD34" i="1"/>
  <c r="BA34" i="1"/>
  <c r="BA27" i="1"/>
  <c r="BA29" i="1"/>
  <c r="BB29" i="1"/>
  <c r="BD30" i="1"/>
  <c r="BE15" i="1"/>
  <c r="D26" i="6"/>
  <c r="O140" i="6"/>
  <c r="BA30" i="1"/>
  <c r="BB30" i="1"/>
  <c r="BD29" i="1"/>
  <c r="BD28" i="1"/>
  <c r="BB35" i="1"/>
  <c r="BD32" i="1"/>
  <c r="O70" i="6"/>
  <c r="BD35" i="1"/>
  <c r="BA28" i="1"/>
  <c r="BB28" i="1"/>
  <c r="BC18" i="1"/>
  <c r="BB32" i="1"/>
  <c r="BB27" i="1"/>
  <c r="BD27" i="1"/>
  <c r="BA32" i="1"/>
  <c r="BC17" i="1"/>
  <c r="BA36" i="1"/>
  <c r="BB36" i="1"/>
  <c r="BD33" i="1"/>
  <c r="BA33" i="1"/>
  <c r="BB33" i="1"/>
  <c r="D48" i="6" l="1"/>
  <c r="D150" i="6"/>
  <c r="D66" i="6"/>
  <c r="D202" i="6"/>
  <c r="D181" i="6"/>
  <c r="Q161" i="6"/>
  <c r="D179" i="6"/>
  <c r="D88" i="6"/>
  <c r="D197" i="6"/>
  <c r="D195" i="6"/>
  <c r="D102" i="6"/>
  <c r="D159" i="6"/>
  <c r="D138" i="6"/>
  <c r="D124" i="6"/>
  <c r="D55" i="6"/>
  <c r="D145" i="6"/>
  <c r="D186" i="6"/>
  <c r="D166" i="6"/>
  <c r="Q64" i="6"/>
  <c r="N30" i="1"/>
  <c r="X34" i="1"/>
  <c r="Z29" i="1"/>
  <c r="Q128" i="6"/>
  <c r="Q199" i="6"/>
  <c r="H30" i="1"/>
  <c r="T29" i="1"/>
  <c r="Q61" i="6"/>
  <c r="Q67" i="6"/>
  <c r="Q122" i="6"/>
  <c r="Q194" i="6"/>
  <c r="Q206" i="6"/>
  <c r="BM36" i="1"/>
  <c r="AN33" i="1"/>
  <c r="X27" i="1"/>
  <c r="R37" i="1"/>
  <c r="Z27" i="1"/>
  <c r="Q13" i="6"/>
  <c r="Q195" i="6"/>
  <c r="Q201" i="6"/>
  <c r="AT28" i="1"/>
  <c r="Z33" i="1"/>
  <c r="V28" i="1"/>
  <c r="Q97" i="6"/>
  <c r="Q131" i="6"/>
  <c r="Q137" i="6"/>
  <c r="Q170" i="6"/>
  <c r="AT37" i="1"/>
  <c r="AN34" i="1"/>
  <c r="N34" i="1"/>
  <c r="AB32" i="1"/>
  <c r="H31" i="1"/>
  <c r="X28" i="1"/>
  <c r="BJ35" i="1"/>
  <c r="H31" i="3"/>
  <c r="D132" i="6"/>
  <c r="Q113" i="6"/>
  <c r="BB38" i="1"/>
  <c r="D50" i="6"/>
  <c r="D189" i="6"/>
  <c r="Q79" i="6"/>
  <c r="Q88" i="6"/>
  <c r="Q183" i="6"/>
  <c r="V125" i="6"/>
  <c r="D62" i="6"/>
  <c r="Q25" i="6"/>
  <c r="Q43" i="6"/>
  <c r="Q149" i="6"/>
  <c r="Q158" i="6"/>
  <c r="Q167" i="6"/>
  <c r="Q200" i="6"/>
  <c r="Q207" i="6"/>
  <c r="D201" i="6"/>
  <c r="V83" i="6"/>
  <c r="D80" i="6"/>
  <c r="Q116" i="6"/>
  <c r="V95" i="6"/>
  <c r="D92" i="6"/>
  <c r="Q7" i="6"/>
  <c r="Q82" i="6"/>
  <c r="Q91" i="6"/>
  <c r="Q100" i="6"/>
  <c r="Q186" i="6"/>
  <c r="Q209" i="6"/>
  <c r="V185" i="6"/>
  <c r="V41" i="6"/>
  <c r="D104" i="6"/>
  <c r="D120" i="6"/>
  <c r="Q19" i="6"/>
  <c r="V197" i="6"/>
  <c r="V53" i="6"/>
  <c r="Q110" i="6"/>
  <c r="Q119" i="6"/>
  <c r="Q204" i="6"/>
  <c r="V65" i="6"/>
  <c r="D22" i="6"/>
  <c r="D10" i="6"/>
  <c r="Q31" i="6"/>
  <c r="Q49" i="6"/>
  <c r="Q76" i="6"/>
  <c r="Q85" i="6"/>
  <c r="Q94" i="6"/>
  <c r="Q103" i="6"/>
  <c r="Q180" i="6"/>
  <c r="Q189" i="6"/>
  <c r="V155" i="6"/>
  <c r="V11" i="6"/>
  <c r="D161" i="6"/>
  <c r="D173" i="6"/>
  <c r="Q146" i="6"/>
  <c r="Q164" i="6"/>
  <c r="Q173" i="6"/>
  <c r="Q198" i="6"/>
  <c r="Q205" i="6"/>
  <c r="V23" i="6"/>
  <c r="J69" i="6"/>
  <c r="J209" i="6"/>
  <c r="D33" i="6"/>
  <c r="V144" i="6"/>
  <c r="V156" i="6"/>
  <c r="V168" i="6"/>
  <c r="V114" i="6"/>
  <c r="V126" i="6"/>
  <c r="V138" i="6"/>
  <c r="V84" i="6"/>
  <c r="V96" i="6"/>
  <c r="V42" i="6"/>
  <c r="V54" i="6"/>
  <c r="V66" i="6"/>
  <c r="V12" i="6"/>
  <c r="V24" i="6"/>
  <c r="D61" i="6"/>
  <c r="D49" i="6"/>
  <c r="Q8" i="6"/>
  <c r="Q14" i="6"/>
  <c r="Q20" i="6"/>
  <c r="Q26" i="6"/>
  <c r="Q32" i="6"/>
  <c r="Q44" i="6"/>
  <c r="Q50" i="6"/>
  <c r="Q56" i="6"/>
  <c r="Q62" i="6"/>
  <c r="Q68" i="6"/>
  <c r="Q74" i="6"/>
  <c r="Q80" i="6"/>
  <c r="Q86" i="6"/>
  <c r="Q92" i="6"/>
  <c r="Q98" i="6"/>
  <c r="Q111" i="6"/>
  <c r="Q117" i="6"/>
  <c r="Q123" i="6"/>
  <c r="Q129" i="6"/>
  <c r="Q135" i="6"/>
  <c r="Q147" i="6"/>
  <c r="Q153" i="6"/>
  <c r="Q159" i="6"/>
  <c r="Q165" i="6"/>
  <c r="Q171" i="6"/>
  <c r="Q184" i="6"/>
  <c r="Q190" i="6"/>
  <c r="Q196" i="6"/>
  <c r="Q202" i="6"/>
  <c r="Q208" i="6"/>
  <c r="V187" i="6"/>
  <c r="V145" i="6"/>
  <c r="V157" i="6"/>
  <c r="V169" i="6"/>
  <c r="V115" i="6"/>
  <c r="V127" i="6"/>
  <c r="V139" i="6"/>
  <c r="J139" i="6"/>
  <c r="D119" i="6"/>
  <c r="D103" i="6"/>
  <c r="D91" i="6"/>
  <c r="D79" i="6"/>
  <c r="BD38" i="1"/>
  <c r="V188" i="6"/>
  <c r="D160" i="6"/>
  <c r="Q9" i="6"/>
  <c r="Q15" i="6"/>
  <c r="Q21" i="6"/>
  <c r="Q27" i="6"/>
  <c r="Q33" i="6"/>
  <c r="Q39" i="6"/>
  <c r="Q45" i="6"/>
  <c r="Q51" i="6"/>
  <c r="Q57" i="6"/>
  <c r="Q63" i="6"/>
  <c r="Q69" i="6"/>
  <c r="Q75" i="6"/>
  <c r="Q81" i="6"/>
  <c r="Q87" i="6"/>
  <c r="Q93" i="6"/>
  <c r="Q99" i="6"/>
  <c r="Q112" i="6"/>
  <c r="Q118" i="6"/>
  <c r="Q124" i="6"/>
  <c r="Q130" i="6"/>
  <c r="Q136" i="6"/>
  <c r="Q148" i="6"/>
  <c r="Q154" i="6"/>
  <c r="Q160" i="6"/>
  <c r="Q166" i="6"/>
  <c r="Q172" i="6"/>
  <c r="Q179" i="6"/>
  <c r="Q191" i="6"/>
  <c r="Q203" i="6"/>
  <c r="D188" i="6"/>
  <c r="I9" i="6"/>
  <c r="J34" i="6" s="1"/>
  <c r="V46" i="6"/>
  <c r="V58" i="6"/>
  <c r="V4" i="6"/>
  <c r="V16" i="6"/>
  <c r="V28" i="6"/>
  <c r="D131" i="6"/>
  <c r="D200" i="6"/>
  <c r="Q10" i="6"/>
  <c r="Q22" i="6"/>
  <c r="Q34" i="6"/>
  <c r="Q40" i="6"/>
  <c r="Q52" i="6"/>
  <c r="V77" i="6"/>
  <c r="V89" i="6"/>
  <c r="V101" i="6"/>
  <c r="V47" i="6"/>
  <c r="V59" i="6"/>
  <c r="V5" i="6"/>
  <c r="V17" i="6"/>
  <c r="V29" i="6"/>
  <c r="V150" i="6"/>
  <c r="V162" i="6"/>
  <c r="V120" i="6"/>
  <c r="V132" i="6"/>
  <c r="V78" i="6"/>
  <c r="V90" i="6"/>
  <c r="V102" i="6"/>
  <c r="V48" i="6"/>
  <c r="V60" i="6"/>
  <c r="V6" i="6"/>
  <c r="V18" i="6"/>
  <c r="V30" i="6"/>
  <c r="D172" i="6"/>
  <c r="Q181" i="6"/>
  <c r="Q193" i="6"/>
  <c r="I148" i="6"/>
  <c r="J174" i="6" s="1"/>
  <c r="V151" i="6"/>
  <c r="V163" i="6"/>
  <c r="V109" i="6"/>
  <c r="V121" i="6"/>
  <c r="V133" i="6"/>
  <c r="V182" i="6"/>
  <c r="J104" i="6"/>
  <c r="BA38" i="1"/>
  <c r="O35" i="6"/>
  <c r="AE37" i="6" s="1"/>
  <c r="BL26" i="1"/>
  <c r="BE9" i="1"/>
  <c r="AL26" i="1"/>
  <c r="J26" i="1"/>
  <c r="BE18" i="1"/>
  <c r="BC15" i="1"/>
  <c r="BA18" i="1"/>
  <c r="BJ27" i="1"/>
  <c r="BK29" i="1"/>
  <c r="H29" i="1"/>
  <c r="N33" i="1"/>
  <c r="AB37" i="1"/>
  <c r="AH28" i="1"/>
  <c r="AN30" i="1"/>
  <c r="AT30" i="1"/>
  <c r="F27" i="1"/>
  <c r="AB27" i="1"/>
  <c r="T28" i="1"/>
  <c r="AT32" i="1"/>
  <c r="BK26" i="1"/>
  <c r="BC13" i="1"/>
  <c r="BE14" i="1"/>
  <c r="BA11" i="1"/>
  <c r="AD33" i="1"/>
  <c r="BL34" i="1"/>
  <c r="BK27" i="1"/>
  <c r="J34" i="1"/>
  <c r="N29" i="1"/>
  <c r="AB29" i="1"/>
  <c r="AJ31" i="1"/>
  <c r="AN28" i="1"/>
  <c r="J27" i="1"/>
  <c r="AH27" i="1"/>
  <c r="BA10" i="1"/>
  <c r="BC12" i="1"/>
  <c r="AY11" i="1"/>
  <c r="BG11" i="1" s="1"/>
  <c r="AD31" i="1"/>
  <c r="BM30" i="1"/>
  <c r="BL33" i="1"/>
  <c r="J31" i="1"/>
  <c r="N28" i="1"/>
  <c r="AB28" i="1"/>
  <c r="AJ30" i="1"/>
  <c r="AP31" i="1"/>
  <c r="R31" i="1"/>
  <c r="L32" i="1"/>
  <c r="AL32" i="1"/>
  <c r="R33" i="1"/>
  <c r="D33" i="1" s="1"/>
  <c r="AF26" i="1"/>
  <c r="BE11" i="1"/>
  <c r="BE12" i="1"/>
  <c r="BA12" i="1"/>
  <c r="AD30" i="1"/>
  <c r="BM29" i="1"/>
  <c r="BL30" i="1"/>
  <c r="J30" i="1"/>
  <c r="P31" i="1"/>
  <c r="AF34" i="1"/>
  <c r="AJ29" i="1"/>
  <c r="AP30" i="1"/>
  <c r="R30" i="1"/>
  <c r="L27" i="1"/>
  <c r="AL27" i="1"/>
  <c r="BK35" i="1"/>
  <c r="BC11" i="1"/>
  <c r="AY12" i="1"/>
  <c r="AD29" i="1"/>
  <c r="BM28" i="1"/>
  <c r="BL29" i="1"/>
  <c r="J29" i="1"/>
  <c r="P30" i="1"/>
  <c r="AF33" i="1"/>
  <c r="AJ28" i="1"/>
  <c r="AP29" i="1"/>
  <c r="N27" i="1"/>
  <c r="AN27" i="1"/>
  <c r="AY18" i="1"/>
  <c r="BG18" i="1" s="1"/>
  <c r="BE16" i="1"/>
  <c r="AD28" i="1"/>
  <c r="BM27" i="1"/>
  <c r="BL28" i="1"/>
  <c r="F35" i="1"/>
  <c r="J28" i="1"/>
  <c r="P29" i="1"/>
  <c r="AF30" i="1"/>
  <c r="AL37" i="1"/>
  <c r="AP28" i="1"/>
  <c r="R28" i="1"/>
  <c r="P27" i="1"/>
  <c r="AP27" i="1"/>
  <c r="BJ36" i="1"/>
  <c r="AN36" i="1"/>
  <c r="X33" i="1"/>
  <c r="BA13" i="1"/>
  <c r="BL27" i="1"/>
  <c r="F34" i="1"/>
  <c r="L37" i="1"/>
  <c r="P28" i="1"/>
  <c r="AF29" i="1"/>
  <c r="AL30" i="1"/>
  <c r="AR34" i="1"/>
  <c r="Z28" i="1"/>
  <c r="D28" i="1" s="1"/>
  <c r="R32" i="1"/>
  <c r="AR32" i="1"/>
  <c r="AP37" i="1"/>
  <c r="AR26" i="1"/>
  <c r="AY10" i="1"/>
  <c r="BG10" i="1" s="1"/>
  <c r="AY13" i="1"/>
  <c r="BJ34" i="1"/>
  <c r="BK34" i="1"/>
  <c r="F30" i="1"/>
  <c r="L30" i="1"/>
  <c r="V34" i="1"/>
  <c r="AF28" i="1"/>
  <c r="AL29" i="1"/>
  <c r="AR30" i="1"/>
  <c r="AJ32" i="1"/>
  <c r="R27" i="1"/>
  <c r="D27" i="1" s="1"/>
  <c r="AR27" i="1"/>
  <c r="AR31" i="1"/>
  <c r="X30" i="1"/>
  <c r="H26" i="1"/>
  <c r="BC10" i="1"/>
  <c r="BA14" i="1"/>
  <c r="BJ30" i="1"/>
  <c r="BK33" i="1"/>
  <c r="F29" i="1"/>
  <c r="L29" i="1"/>
  <c r="V30" i="1"/>
  <c r="AH31" i="1"/>
  <c r="AL28" i="1"/>
  <c r="AR29" i="1"/>
  <c r="AJ27" i="1"/>
  <c r="V27" i="1"/>
  <c r="AT27" i="1"/>
  <c r="X36" i="1"/>
  <c r="T32" i="1"/>
  <c r="BE10" i="1"/>
  <c r="AN26" i="1"/>
  <c r="BE13" i="1"/>
  <c r="AY14" i="1"/>
  <c r="BJ29" i="1"/>
  <c r="BK32" i="1"/>
  <c r="F28" i="1"/>
  <c r="L28" i="1"/>
  <c r="V29" i="1"/>
  <c r="AH30" i="1"/>
  <c r="AR28" i="1"/>
  <c r="AD27" i="1"/>
  <c r="T30" i="1"/>
  <c r="BC16" i="1"/>
  <c r="R29" i="1"/>
  <c r="D29" i="1" s="1"/>
  <c r="BA16" i="1"/>
  <c r="BJ28" i="1"/>
  <c r="BK30" i="1"/>
  <c r="AH29" i="1"/>
  <c r="F32" i="1"/>
  <c r="AD35" i="1"/>
  <c r="AY17" i="1"/>
  <c r="AT31" i="1"/>
  <c r="Z30" i="1"/>
  <c r="D30" i="1" s="1"/>
  <c r="F36" i="1"/>
  <c r="N35" i="1"/>
  <c r="AF35" i="1"/>
  <c r="AN35" i="1"/>
  <c r="Z37" i="1"/>
  <c r="D37" i="1" s="1"/>
  <c r="T31" i="1"/>
  <c r="X31" i="1"/>
  <c r="AB36" i="1"/>
  <c r="AL36" i="1"/>
  <c r="X37" i="1"/>
  <c r="BC20" i="1"/>
  <c r="BM35" i="1"/>
  <c r="L36" i="1"/>
  <c r="R36" i="1"/>
  <c r="BM26" i="1"/>
  <c r="BC9" i="1"/>
  <c r="BE17" i="1"/>
  <c r="BC14" i="1"/>
  <c r="BM34" i="1"/>
  <c r="BJ33" i="1"/>
  <c r="BL32" i="1"/>
  <c r="BK31" i="1"/>
  <c r="F33" i="1"/>
  <c r="L35" i="1"/>
  <c r="N31" i="1"/>
  <c r="AB35" i="1"/>
  <c r="AF31" i="1"/>
  <c r="AL35" i="1"/>
  <c r="AN31" i="1"/>
  <c r="AT35" i="1"/>
  <c r="Z36" i="1"/>
  <c r="D36" i="1" s="1"/>
  <c r="Z31" i="1"/>
  <c r="D31" i="1" s="1"/>
  <c r="AD32" i="1"/>
  <c r="N32" i="1"/>
  <c r="AF32" i="1"/>
  <c r="X29" i="1"/>
  <c r="AP26" i="1"/>
  <c r="AT36" i="1"/>
  <c r="AJ26" i="1"/>
  <c r="AY9" i="1"/>
  <c r="BE20" i="1"/>
  <c r="BA15" i="1"/>
  <c r="BA19" i="1"/>
  <c r="BM33" i="1"/>
  <c r="BJ32" i="1"/>
  <c r="BL31" i="1"/>
  <c r="F31" i="1"/>
  <c r="J37" i="1"/>
  <c r="L34" i="1"/>
  <c r="V37" i="1"/>
  <c r="AB34" i="1"/>
  <c r="AJ37" i="1"/>
  <c r="AL34" i="1"/>
  <c r="AR37" i="1"/>
  <c r="AT34" i="1"/>
  <c r="X32" i="1"/>
  <c r="R26" i="1"/>
  <c r="AY15" i="1"/>
  <c r="AY19" i="1"/>
  <c r="BM32" i="1"/>
  <c r="BJ31" i="1"/>
  <c r="J36" i="1"/>
  <c r="L33" i="1"/>
  <c r="V36" i="1"/>
  <c r="AB33" i="1"/>
  <c r="AJ36" i="1"/>
  <c r="AL33" i="1"/>
  <c r="AR36" i="1"/>
  <c r="AT33" i="1"/>
  <c r="R35" i="1"/>
  <c r="P32" i="1"/>
  <c r="AH32" i="1"/>
  <c r="T26" i="1"/>
  <c r="X35" i="1"/>
  <c r="AH26" i="1"/>
  <c r="Z26" i="1"/>
  <c r="BA9" i="1"/>
  <c r="AT26" i="1"/>
  <c r="L26" i="1"/>
  <c r="BM31" i="1"/>
  <c r="J35" i="1"/>
  <c r="L31" i="1"/>
  <c r="V35" i="1"/>
  <c r="AB31" i="1"/>
  <c r="AJ35" i="1"/>
  <c r="AL31" i="1"/>
  <c r="AR35" i="1"/>
  <c r="Z35" i="1"/>
  <c r="D35" i="1" s="1"/>
  <c r="T37" i="1"/>
  <c r="X26" i="1"/>
  <c r="P37" i="1"/>
  <c r="AH37" i="1"/>
  <c r="T36" i="1"/>
  <c r="N26" i="1"/>
  <c r="P26" i="1"/>
  <c r="AY16" i="1"/>
  <c r="BG16" i="1" s="1"/>
  <c r="AY20" i="1"/>
  <c r="H36" i="1"/>
  <c r="J33" i="1"/>
  <c r="P36" i="1"/>
  <c r="V33" i="1"/>
  <c r="AH36" i="1"/>
  <c r="AJ33" i="1"/>
  <c r="AP36" i="1"/>
  <c r="AR33" i="1"/>
  <c r="AT29" i="1"/>
  <c r="R34" i="1"/>
  <c r="T35" i="1"/>
  <c r="V26" i="1"/>
  <c r="BC19" i="1"/>
  <c r="BK37" i="1"/>
  <c r="P35" i="1"/>
  <c r="V31" i="1"/>
  <c r="AH35" i="1"/>
  <c r="AP35" i="1"/>
  <c r="Z34" i="1"/>
  <c r="H32" i="1"/>
  <c r="V32" i="1"/>
  <c r="AN32" i="1"/>
  <c r="T34" i="1"/>
  <c r="AD37" i="1"/>
  <c r="H35" i="1"/>
  <c r="AD26" i="1"/>
  <c r="BJ26" i="1"/>
  <c r="BE19" i="1"/>
  <c r="BA17" i="1"/>
  <c r="BG17" i="1" s="1"/>
  <c r="AD36" i="1"/>
  <c r="BL37" i="1"/>
  <c r="BK36" i="1"/>
  <c r="H34" i="1"/>
  <c r="N37" i="1"/>
  <c r="P34" i="1"/>
  <c r="AF37" i="1"/>
  <c r="AH34" i="1"/>
  <c r="AN37" i="1"/>
  <c r="AP34" i="1"/>
  <c r="T33" i="1"/>
  <c r="BA20" i="1"/>
  <c r="H37" i="1"/>
  <c r="AB26" i="1"/>
  <c r="F26" i="1"/>
  <c r="BJ37" i="1"/>
  <c r="BL36" i="1"/>
  <c r="F37" i="1"/>
  <c r="H33" i="1"/>
  <c r="N36" i="1"/>
  <c r="P33" i="1"/>
  <c r="AF36" i="1"/>
  <c r="AH33" i="1"/>
  <c r="AP33" i="1"/>
  <c r="J32" i="1"/>
  <c r="Z32" i="1"/>
  <c r="D32" i="1" s="1"/>
  <c r="AP32" i="1"/>
  <c r="BA26" i="1"/>
  <c r="BB26" i="1"/>
  <c r="D34" i="1" l="1"/>
  <c r="BG13" i="1"/>
  <c r="L38" i="1"/>
  <c r="J38" i="1"/>
  <c r="W139" i="6"/>
  <c r="W104" i="6"/>
  <c r="W174" i="6"/>
  <c r="W209" i="6"/>
  <c r="W34" i="6"/>
  <c r="W69" i="6"/>
  <c r="AB38" i="1"/>
  <c r="AD6" i="1" s="1"/>
  <c r="X38" i="1"/>
  <c r="AT38" i="1"/>
  <c r="AD38" i="1"/>
  <c r="X6" i="1" s="1"/>
  <c r="AF38" i="1"/>
  <c r="AL38" i="1"/>
  <c r="H38" i="1"/>
  <c r="Q6" i="1" s="1"/>
  <c r="AN38" i="1"/>
  <c r="BG14" i="1"/>
  <c r="BG12" i="1"/>
  <c r="BL38" i="1"/>
  <c r="BK38" i="1" s="1"/>
  <c r="F38" i="1"/>
  <c r="I6" i="1" s="1"/>
  <c r="AR38" i="1"/>
  <c r="D26" i="1"/>
  <c r="D38" i="1" s="1"/>
  <c r="Z38" i="1"/>
  <c r="BG9" i="1"/>
  <c r="V38" i="1"/>
  <c r="AH38" i="1"/>
  <c r="AJ38" i="1"/>
  <c r="BM38" i="1"/>
  <c r="BJ38" i="1" s="1"/>
  <c r="BG20" i="1"/>
  <c r="T38" i="1"/>
  <c r="AP38" i="1"/>
  <c r="P38" i="1"/>
  <c r="BG19" i="1"/>
  <c r="N38" i="1"/>
  <c r="BG15" i="1"/>
  <c r="R38" i="1"/>
  <c r="BI20" i="1" l="1"/>
  <c r="D39" i="1"/>
</calcChain>
</file>

<file path=xl/sharedStrings.xml><?xml version="1.0" encoding="utf-8"?>
<sst xmlns="http://schemas.openxmlformats.org/spreadsheetml/2006/main" count="444" uniqueCount="191">
  <si>
    <t>Anno</t>
  </si>
  <si>
    <t>Matricola</t>
  </si>
  <si>
    <t>Cognome e nome del dipendente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</si>
  <si>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</si>
  <si>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</si>
  <si>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</si>
  <si>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</si>
  <si>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</si>
  <si>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</si>
  <si>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</si>
  <si>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</si>
  <si>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</si>
  <si>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</si>
  <si>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</si>
  <si>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</si>
  <si>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Riporto</t>
  </si>
  <si>
    <t xml:space="preserve">Residuo </t>
  </si>
  <si>
    <t>Residuo</t>
  </si>
  <si>
    <t>Giorni Ferie Anno Corrente</t>
  </si>
  <si>
    <t>Giorni Ferie Anno Prec</t>
  </si>
  <si>
    <t xml:space="preserve">Giorni Ferie </t>
  </si>
  <si>
    <t>M</t>
  </si>
  <si>
    <t xml:space="preserve"> /</t>
  </si>
  <si>
    <t>P</t>
  </si>
  <si>
    <t>gg</t>
  </si>
  <si>
    <t>mm</t>
  </si>
  <si>
    <t>Patrono</t>
  </si>
  <si>
    <t>Mb</t>
  </si>
  <si>
    <t>PL</t>
  </si>
  <si>
    <t>Malattia bambino</t>
  </si>
  <si>
    <t>Inserisci nella casella sottostante l'anno:</t>
  </si>
  <si>
    <t>Capodanno</t>
  </si>
  <si>
    <t>Epifania</t>
  </si>
  <si>
    <t>Festa della Liberazione</t>
  </si>
  <si>
    <t>1° Maggio</t>
  </si>
  <si>
    <t>Festa della Repubblica</t>
  </si>
  <si>
    <t>Ferragosto</t>
  </si>
  <si>
    <t>Tutti i Santi</t>
  </si>
  <si>
    <t>Immacolata</t>
  </si>
  <si>
    <t>Natale</t>
  </si>
  <si>
    <t>Santo Stefano</t>
  </si>
  <si>
    <t>Lunedì di Pasqua</t>
  </si>
  <si>
    <r>
      <t xml:space="preserve">Inserisci nelle caselle sottostanti </t>
    </r>
    <r>
      <rPr>
        <i/>
        <sz val="10"/>
        <rFont val="Arial"/>
        <family val="2"/>
      </rPr>
      <t>il giorno e il mese</t>
    </r>
    <r>
      <rPr>
        <sz val="10"/>
        <rFont val="Arial"/>
        <family val="2"/>
      </rPr>
      <t xml:space="preserve"> in cui ricorrono le festività. Puoi anche modificare i nomi delle festività. 
Attenzione: il lunedi di Pasqua è calcolato automaticamente --&gt; NON VA INSERITO! </t>
    </r>
  </si>
  <si>
    <t>Sigla</t>
  </si>
  <si>
    <t>Descrizione</t>
  </si>
  <si>
    <t>Presenza in Servizio</t>
  </si>
  <si>
    <t>Malattia</t>
  </si>
  <si>
    <t>Permesso L. 104</t>
  </si>
  <si>
    <r>
      <t>Le prime 3 sigle (P, Fp, Fc) non sono modificabili</t>
    </r>
    <r>
      <rPr>
        <sz val="10"/>
        <rFont val="Arial"/>
        <family val="2"/>
      </rPr>
      <t xml:space="preserve"> per non alterare le funzionalità di calcolo del foglio per queste voci preimpostate. Ogni sigla è riferita ad una tipologia lavorativa relativa ad un'intera giornata. Non è possibile gestire tipologie di servizio che si articolano su ore.</t>
    </r>
  </si>
  <si>
    <r>
      <t xml:space="preserve">Inserire nella tabella sottostante la </t>
    </r>
    <r>
      <rPr>
        <b/>
        <sz val="10"/>
        <rFont val="Arial"/>
        <family val="2"/>
      </rPr>
      <t>sigla</t>
    </r>
    <r>
      <rPr>
        <sz val="10"/>
        <rFont val="Arial"/>
        <family val="2"/>
      </rPr>
      <t xml:space="preserve"> e la </t>
    </r>
    <r>
      <rPr>
        <b/>
        <sz val="10"/>
        <rFont val="Arial"/>
        <family val="2"/>
      </rPr>
      <t>descrizione</t>
    </r>
    <r>
      <rPr>
        <sz val="10"/>
        <rFont val="Arial"/>
        <family val="2"/>
      </rPr>
      <t xml:space="preserve"> di ogni tipologia lavorativa da calcolare nel Foglio Presenze</t>
    </r>
  </si>
  <si>
    <t>Si consiglia di usare sigle composte da non più di 2 caratteri per evitare problemi di visualizzazione nelle celle del Foglio Presenze. Anche la descrizione deve essere breve in modo da poter essere contenuta dalla cella di intestazione della tabella riepilogativa.</t>
  </si>
  <si>
    <r>
      <t xml:space="preserve">ATTENZIONE: </t>
    </r>
    <r>
      <rPr>
        <sz val="10"/>
        <rFont val="Arial"/>
        <family val="2"/>
      </rPr>
      <t xml:space="preserve">modificare le sigle in corso d'anno comporta </t>
    </r>
    <r>
      <rPr>
        <b/>
        <sz val="10"/>
        <rFont val="Arial"/>
        <family val="2"/>
      </rPr>
      <t>la perdita di tutti i dati riepilogativi registrati</t>
    </r>
    <r>
      <rPr>
        <sz val="10"/>
        <rFont val="Arial"/>
        <family val="2"/>
      </rPr>
      <t>. Si consiglia pertanto di aggiornarle solo all'apertura di un nuovo anno con il Foglio Presenze completamente vuoto.</t>
    </r>
  </si>
  <si>
    <t>Visualizza?</t>
  </si>
  <si>
    <t>Si</t>
  </si>
  <si>
    <t>No</t>
  </si>
  <si>
    <r>
      <t xml:space="preserve">Tuttavia si può </t>
    </r>
    <r>
      <rPr>
        <b/>
        <sz val="10"/>
        <rFont val="Arial"/>
        <family val="2"/>
      </rPr>
      <t>escludere il conteggio del Lunedì di Pasqua,</t>
    </r>
    <r>
      <rPr>
        <sz val="10"/>
        <rFont val="Arial"/>
        <family val="2"/>
      </rPr>
      <t xml:space="preserve"> se il proprio calendario non lo prevede, agendo sulla cella sotto la scritta "</t>
    </r>
    <r>
      <rPr>
        <b/>
        <sz val="10"/>
        <rFont val="Arial"/>
        <family val="2"/>
      </rPr>
      <t>Visualizza</t>
    </r>
    <r>
      <rPr>
        <sz val="10"/>
        <rFont val="Arial"/>
        <family val="2"/>
      </rPr>
      <t>". Impostandola a "</t>
    </r>
    <r>
      <rPr>
        <b/>
        <sz val="10"/>
        <rFont val="Arial"/>
        <family val="2"/>
      </rPr>
      <t>No</t>
    </r>
    <r>
      <rPr>
        <sz val="10"/>
        <rFont val="Arial"/>
        <family val="2"/>
      </rPr>
      <t>" il giorno non sarà considerato festivo nel Foglio Presenze.</t>
    </r>
  </si>
  <si>
    <t>Riposo</t>
  </si>
  <si>
    <t>I</t>
  </si>
  <si>
    <t>FL</t>
  </si>
  <si>
    <t>Festivo Lavorato</t>
  </si>
  <si>
    <t>F</t>
  </si>
  <si>
    <t>Festivo</t>
  </si>
  <si>
    <t>S</t>
  </si>
  <si>
    <t>Sciopero</t>
  </si>
  <si>
    <t>C</t>
  </si>
  <si>
    <t>V</t>
  </si>
  <si>
    <t>Visita Medica</t>
  </si>
  <si>
    <t>Dormita</t>
  </si>
  <si>
    <t>Cong Rosse</t>
  </si>
  <si>
    <t>Cong Nere</t>
  </si>
  <si>
    <t>IL</t>
  </si>
  <si>
    <t>FESTIVITA'</t>
  </si>
  <si>
    <t>LAVORATO</t>
  </si>
  <si>
    <t>PAGATO IN DATA</t>
  </si>
  <si>
    <t>GODUTO</t>
  </si>
  <si>
    <t>RECUPERATO IN DATA</t>
  </si>
  <si>
    <t>RIPOSO</t>
  </si>
  <si>
    <t>FS</t>
  </si>
  <si>
    <t>Festività Soppressa</t>
  </si>
  <si>
    <t>PM</t>
  </si>
  <si>
    <t>Permesso</t>
  </si>
  <si>
    <t>Fest Sopp (FS)</t>
  </si>
  <si>
    <t>Permessi (PM)</t>
  </si>
  <si>
    <t>Residuo (FS)</t>
  </si>
  <si>
    <t>Residuo (PM)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</si>
  <si>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</si>
  <si>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</si>
  <si>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</si>
  <si>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</si>
  <si>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</si>
  <si>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</si>
  <si>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</si>
  <si>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</si>
  <si>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</si>
  <si>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</si>
  <si>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</si>
  <si>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</si>
  <si>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CONGEDI DELL'ANNO</t>
  </si>
  <si>
    <t>RF</t>
  </si>
  <si>
    <t>Recupero Festivo</t>
  </si>
  <si>
    <t>GIOR</t>
  </si>
  <si>
    <t>GIORNATA  TURNO</t>
  </si>
  <si>
    <t>DALLE</t>
  </si>
  <si>
    <t>ALLE</t>
  </si>
  <si>
    <t>Tipo</t>
  </si>
  <si>
    <t>Tipi Servizi</t>
  </si>
  <si>
    <t>= presenza</t>
  </si>
  <si>
    <t>= dormita</t>
  </si>
  <si>
    <t>= Riposo</t>
  </si>
  <si>
    <t>= Intervallo</t>
  </si>
  <si>
    <t>= Intervallo Lavorato</t>
  </si>
  <si>
    <t>= Festivo</t>
  </si>
  <si>
    <t>DATA</t>
  </si>
  <si>
    <t>= Visita Medica</t>
  </si>
  <si>
    <t>= Festivo Lavorato</t>
  </si>
  <si>
    <t>= Recupero Festivo</t>
  </si>
  <si>
    <t>= Malattia</t>
  </si>
  <si>
    <t>= Festività Soppressa</t>
  </si>
  <si>
    <t>= Permesso</t>
  </si>
  <si>
    <t>= Sciopero</t>
  </si>
  <si>
    <t>= Malattia bambino</t>
  </si>
  <si>
    <t>Congedo</t>
  </si>
  <si>
    <t>= Permesso L. 104</t>
  </si>
  <si>
    <t>Cong Rossi</t>
  </si>
  <si>
    <t>Fest Sopp</t>
  </si>
  <si>
    <t>Permessi</t>
  </si>
  <si>
    <t>F. della Liberazione</t>
  </si>
  <si>
    <t>F. della Repubblica</t>
  </si>
  <si>
    <t>TK</t>
  </si>
  <si>
    <t>SERVIZIO</t>
  </si>
  <si>
    <t>Ore Lavoro</t>
  </si>
  <si>
    <t>Totale</t>
  </si>
  <si>
    <t>Straord</t>
  </si>
  <si>
    <t>Congedi Totali</t>
  </si>
  <si>
    <t>TOTALI ANNO</t>
  </si>
  <si>
    <t>MCR</t>
  </si>
  <si>
    <t>MCN</t>
  </si>
  <si>
    <t>2560 tira/2571 so/2575 cle/taxi sr</t>
  </si>
  <si>
    <t>Taxi fio/26345 pg/10820/5254w2563</t>
  </si>
  <si>
    <t>Tot.Anno</t>
  </si>
  <si>
    <t>Ag</t>
  </si>
  <si>
    <t>Assenza giustificata</t>
  </si>
  <si>
    <t>= Assenza Giustificata</t>
  </si>
  <si>
    <t>Indicare nel diario la tipologia di assenza: sindacale, paternità,etc</t>
  </si>
  <si>
    <t>NOTE</t>
  </si>
  <si>
    <t>Mezzo Congedo Nero</t>
  </si>
  <si>
    <t>Mezzo Congedo Rosso</t>
  </si>
  <si>
    <t>Calcolo ore settimanali</t>
  </si>
  <si>
    <t>giornata</t>
  </si>
  <si>
    <t>totale</t>
  </si>
  <si>
    <t>ora inizio</t>
  </si>
  <si>
    <t>ora fine</t>
  </si>
  <si>
    <t>Monte Ore</t>
  </si>
  <si>
    <t>28 gg</t>
  </si>
  <si>
    <t>29 gg</t>
  </si>
  <si>
    <t>Manuale dell' Agenda del Personale Mobole</t>
  </si>
  <si>
    <t>L’agenda funziona con Excel sia su Pc, Mac, Smartphone Android e IPhone.</t>
  </si>
  <si>
    <t>Il File è composto da 6 schede:</t>
  </si>
  <si>
    <t>Si Consiglia di farne una copia una volta scaricato e rinominare il file per l’anno in corso.</t>
  </si>
  <si>
    <t>Agenda del personale Mobile</t>
  </si>
  <si>
    <t>Festività Anno in corso</t>
  </si>
  <si>
    <t>Tipologie di Presenze / Assenze</t>
  </si>
  <si>
    <t>- Manuale con una semplice spiegazione dell'agenda.</t>
  </si>
  <si>
    <t>- Festività: Dove iniziare scrivendo l’anno in corso e che permetterà la compilazione automatica del calendario e nel quale si possono vedere le Festività dell’anno selezionato.</t>
  </si>
  <si>
    <t>- Tipologie di presenze e assenze: sono indicate sigle e descrizioni per la compilazione del diario.</t>
  </si>
  <si>
    <t>- Ore settimana: è un altro foglio indipendente che permette di inserire l’ora di inizio e termine per 6 giornate lavorative così da calcolare le ore effettuate durante la settimana.</t>
  </si>
  <si>
    <t>- Diario: è il cuore della agenda e la parte da compilare giornalmente. Bisogna inserire per ogni giornata la tipologia di presenza/assenza seguendo i codici dal foglio Tipologie, indicare l’ora reale di inizio e termine giornata. Il Diario calcola le ore giornaliere e quelle mensili realmente effettuate. Nella colonna a fianco indica qual è il limite ore mensili. Bisogna inserire se si effettuato dello straordinario (in minuti). Nella colonna Servizio Indicare i treni e/o il servizio svolto, la colonna per le note si può utilizzare per notazioni di ogni genere inerente alla giornata svolta.</t>
  </si>
  <si>
    <t>GRS</t>
  </si>
  <si>
    <t>GRS Lavorato</t>
  </si>
  <si>
    <t>- Presenze: schermata stampabile che permette di avere il riepilogo di tutto l’anno trascorso.Inserire nella casella Modificabile il giorni di ferie Spettanti</t>
  </si>
  <si>
    <t>CAP</t>
  </si>
  <si>
    <t>Congedo Anno Corrente</t>
  </si>
  <si>
    <t>Congedo Anno Precedente</t>
  </si>
  <si>
    <t>= Cong Anno Corrente</t>
  </si>
  <si>
    <t>= Congedo Anno Precedente</t>
  </si>
  <si>
    <t>MC</t>
  </si>
  <si>
    <t>MCAP</t>
  </si>
  <si>
    <t>Mezzo congedo anno precedente</t>
  </si>
  <si>
    <t xml:space="preserve"> = Mezzo congedo Anno Precedente</t>
  </si>
  <si>
    <t>= Mezzo Congedo Anno Corrente</t>
  </si>
  <si>
    <t>CAP2</t>
  </si>
  <si>
    <t>MCAP2</t>
  </si>
  <si>
    <t>Congedo 2 Anni Precedenti</t>
  </si>
  <si>
    <t>Mezzo congedo 2 anni precedenti</t>
  </si>
  <si>
    <t xml:space="preserve"> = Mezzo congedo 2 Anni Precedenti</t>
  </si>
  <si>
    <t>= Congedo 2 Anni Precedenti</t>
  </si>
  <si>
    <t>Mezzo congedo anno corrente</t>
  </si>
  <si>
    <t xml:space="preserve">Totale Ticket </t>
  </si>
  <si>
    <t>Ticket totali del mese:</t>
  </si>
  <si>
    <t>RIP</t>
  </si>
  <si>
    <t>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</si>
</sst>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£&quot;* #,##0_-;\-&quot;£&quot;* #,##0_-;_-&quot;£&quot;* &quot;-&quot;_-;_-@_-"/>
    <numFmt numFmtId="165" formatCode="_-&quot;£&quot;* #,##0.00_-;\-&quot;£&quot;* #,##0.00_-;_-&quot;£&quot;* &quot;-&quot;??_-;_-@_-"/>
    <numFmt numFmtId="166" formatCode="d/m/yyyy"/>
    <numFmt numFmtId="167" formatCode="[$-F800]dddd\,\ mmmm\ dd\,\ yyyy"/>
    <numFmt numFmtId="168" formatCode="d"/>
    <numFmt numFmtId="169" formatCode="ddd"/>
    <numFmt numFmtId="170" formatCode="mmmm\-yyyy"/>
    <numFmt numFmtId="171" formatCode="h:mm;@"/>
    <numFmt numFmtId="172" formatCode="[h]:mm"/>
    <numFmt numFmtId="173" formatCode="_-\€\ * #,##0.00_-;_-\€\ * #,##0.00\-;_-\€\ * &quot;-&quot;??_-;_-@_-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13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indexed="9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8"/>
      <color indexed="1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9"/>
      <name val="Arial"/>
      <family val="2"/>
    </font>
    <font>
      <sz val="10"/>
      <color indexed="64"/>
      <name val="Arial"/>
      <family val="2"/>
    </font>
    <font>
      <b/>
      <sz val="8"/>
      <color indexed="64"/>
      <name val="Arial"/>
      <family val="2"/>
    </font>
    <font>
      <b/>
      <sz val="10"/>
      <color indexed="64"/>
      <name val="Arial"/>
      <family val="2"/>
    </font>
    <font>
      <sz val="10"/>
      <color indexed="64"/>
      <name val="Arial"/>
      <family val="2"/>
    </font>
    <font>
      <b/>
      <sz val="7"/>
      <color indexed="64"/>
      <name val="Times New Roman"/>
      <family val="1"/>
    </font>
    <font>
      <b/>
      <sz val="12"/>
      <color indexed="64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1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1"/>
      <scheme val="minor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  <font>
      <sz val="12"/>
      <color rgb="FF000000"/>
      <name val="Calibri"/>
      <family val="2"/>
    </font>
  </fonts>
  <fills count="54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00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7964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75">
    <xf numFmtId="0" fontId="0" fillId="0" borderId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9" fillId="33" borderId="44" applyNumberFormat="0" applyAlignment="0" applyProtection="0"/>
    <xf numFmtId="0" fontId="30" fillId="0" borderId="45" applyNumberFormat="0" applyFill="0" applyAlignment="0" applyProtection="0"/>
    <xf numFmtId="0" fontId="31" fillId="34" borderId="46" applyNumberFormat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32" fillId="41" borderId="44" applyNumberFormat="0" applyAlignment="0" applyProtection="0"/>
    <xf numFmtId="0" fontId="33" fillId="42" borderId="0" applyNumberFormat="0" applyBorder="0" applyAlignment="0" applyProtection="0"/>
    <xf numFmtId="0" fontId="4" fillId="2" borderId="0"/>
    <xf numFmtId="0" fontId="20" fillId="0" borderId="0">
      <alignment vertical="center"/>
    </xf>
    <xf numFmtId="0" fontId="23" fillId="0" borderId="0">
      <alignment vertical="center"/>
    </xf>
    <xf numFmtId="0" fontId="27" fillId="0" borderId="0"/>
    <xf numFmtId="0" fontId="27" fillId="43" borderId="47" applyNumberFormat="0" applyFont="0" applyAlignment="0" applyProtection="0"/>
    <xf numFmtId="0" fontId="34" fillId="33" borderId="48" applyNumberFormat="0" applyAlignment="0" applyProtection="0"/>
    <xf numFmtId="0" fontId="2" fillId="2" borderId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49" applyNumberFormat="0" applyFill="0" applyAlignment="0" applyProtection="0"/>
    <xf numFmtId="0" fontId="39" fillId="0" borderId="50" applyNumberFormat="0" applyFill="0" applyAlignment="0" applyProtection="0"/>
    <xf numFmtId="0" fontId="40" fillId="0" borderId="51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52" applyNumberFormat="0" applyFill="0" applyAlignment="0" applyProtection="0"/>
    <xf numFmtId="0" fontId="42" fillId="44" borderId="0" applyNumberFormat="0" applyBorder="0" applyAlignment="0" applyProtection="0"/>
    <xf numFmtId="0" fontId="43" fillId="45" borderId="0" applyNumberFormat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8" fillId="0" borderId="0"/>
    <xf numFmtId="173" fontId="2" fillId="0" borderId="0" applyFont="0" applyFill="0" applyBorder="0" applyAlignment="0" applyProtection="0"/>
    <xf numFmtId="0" fontId="49" fillId="50" borderId="0" applyNumberFormat="0" applyBorder="0" applyAlignment="0" applyProtection="0"/>
    <xf numFmtId="0" fontId="50" fillId="41" borderId="44" applyNumberFormat="0" applyAlignment="0" applyProtection="0"/>
    <xf numFmtId="0" fontId="51" fillId="33" borderId="44" applyNumberFormat="0" applyAlignment="0" applyProtection="0"/>
    <xf numFmtId="0" fontId="47" fillId="0" borderId="0"/>
    <xf numFmtId="173" fontId="44" fillId="0" borderId="0" applyFont="0" applyFill="0" applyBorder="0" applyAlignment="0" applyProtection="0"/>
    <xf numFmtId="0" fontId="2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" fillId="43" borderId="47" applyNumberFormat="0" applyFont="0" applyAlignment="0" applyProtection="0"/>
    <xf numFmtId="0" fontId="2" fillId="0" borderId="0"/>
    <xf numFmtId="0" fontId="2" fillId="0" borderId="0"/>
    <xf numFmtId="0" fontId="2" fillId="0" borderId="0"/>
  </cellStyleXfs>
  <cellXfs count="555">
    <xf numFmtId="0" fontId="0" fillId="0" borderId="0" xfId="0"/>
    <xf numFmtId="0" fontId="0" fillId="3" borderId="0" xfId="0" applyFill="1"/>
    <xf numFmtId="0" fontId="0" fillId="3" borderId="0" xfId="0" applyFill="1" applyProtection="1">
      <protection hidden="1"/>
    </xf>
    <xf numFmtId="0" fontId="10" fillId="3" borderId="0" xfId="0" applyFont="1" applyFill="1" applyProtection="1">
      <protection hidden="1"/>
    </xf>
    <xf numFmtId="0" fontId="0" fillId="3" borderId="1" xfId="0" applyFill="1" applyBorder="1" applyProtection="1">
      <protection hidden="1"/>
    </xf>
    <xf numFmtId="14" fontId="10" fillId="3" borderId="0" xfId="0" applyNumberFormat="1" applyFont="1" applyFill="1" applyProtection="1"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3" fillId="3" borderId="3" xfId="0" applyFont="1" applyFill="1" applyBorder="1" applyAlignment="1" applyProtection="1">
      <alignment horizontal="center" vertical="center"/>
      <protection hidden="1"/>
    </xf>
    <xf numFmtId="0" fontId="9" fillId="4" borderId="0" xfId="0" applyFont="1" applyFill="1" applyProtection="1">
      <protection hidden="1"/>
    </xf>
    <xf numFmtId="0" fontId="11" fillId="4" borderId="0" xfId="0" applyFont="1" applyFill="1" applyProtection="1">
      <protection hidden="1"/>
    </xf>
    <xf numFmtId="0" fontId="0" fillId="3" borderId="6" xfId="0" applyFill="1" applyBorder="1" applyProtection="1">
      <protection hidden="1"/>
    </xf>
    <xf numFmtId="0" fontId="3" fillId="3" borderId="0" xfId="0" applyFont="1" applyFill="1" applyAlignment="1" applyProtection="1">
      <alignment horizontal="center"/>
      <protection hidden="1"/>
    </xf>
    <xf numFmtId="166" fontId="13" fillId="3" borderId="0" xfId="0" applyNumberFormat="1" applyFont="1" applyFill="1" applyProtection="1">
      <protection hidden="1"/>
    </xf>
    <xf numFmtId="0" fontId="3" fillId="5" borderId="3" xfId="0" applyFont="1" applyFill="1" applyBorder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hidden="1"/>
    </xf>
    <xf numFmtId="0" fontId="3" fillId="4" borderId="3" xfId="0" applyFont="1" applyFill="1" applyBorder="1" applyAlignment="1" applyProtection="1">
      <alignment vertical="center"/>
      <protection hidden="1"/>
    </xf>
    <xf numFmtId="0" fontId="13" fillId="3" borderId="0" xfId="0" applyFont="1" applyFill="1" applyProtection="1">
      <protection hidden="1"/>
    </xf>
    <xf numFmtId="0" fontId="11" fillId="3" borderId="0" xfId="0" applyFont="1" applyFill="1" applyProtection="1">
      <protection hidden="1"/>
    </xf>
    <xf numFmtId="0" fontId="3" fillId="3" borderId="3" xfId="0" applyFont="1" applyFill="1" applyBorder="1" applyAlignment="1" applyProtection="1">
      <alignment vertical="center"/>
      <protection locked="0"/>
    </xf>
    <xf numFmtId="0" fontId="8" fillId="3" borderId="0" xfId="0" applyFont="1" applyFill="1" applyAlignment="1" applyProtection="1">
      <alignment horizontal="right"/>
      <protection hidden="1"/>
    </xf>
    <xf numFmtId="0" fontId="0" fillId="3" borderId="0" xfId="0" applyFill="1" applyAlignment="1" applyProtection="1">
      <alignment vertical="top" wrapText="1"/>
      <protection hidden="1"/>
    </xf>
    <xf numFmtId="0" fontId="3" fillId="6" borderId="3" xfId="0" applyFont="1" applyFill="1" applyBorder="1" applyProtection="1">
      <protection hidden="1"/>
    </xf>
    <xf numFmtId="0" fontId="3" fillId="5" borderId="3" xfId="0" applyFont="1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0" fontId="6" fillId="3" borderId="0" xfId="0" applyFont="1" applyFill="1" applyAlignment="1" applyProtection="1">
      <alignment horizontal="center" vertical="center"/>
      <protection hidden="1"/>
    </xf>
    <xf numFmtId="0" fontId="3" fillId="3" borderId="0" xfId="0" applyFont="1" applyFill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7" borderId="3" xfId="0" applyFont="1" applyFill="1" applyBorder="1" applyAlignment="1" applyProtection="1">
      <alignment horizontal="center"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Protection="1">
      <protection hidden="1"/>
    </xf>
    <xf numFmtId="0" fontId="19" fillId="3" borderId="0" xfId="0" applyFont="1" applyFill="1" applyProtection="1">
      <protection hidden="1"/>
    </xf>
    <xf numFmtId="0" fontId="16" fillId="3" borderId="0" xfId="0" applyFont="1" applyFill="1" applyAlignment="1" applyProtection="1">
      <alignment horizontal="center" vertical="center"/>
      <protection locked="0"/>
    </xf>
    <xf numFmtId="0" fontId="18" fillId="3" borderId="0" xfId="0" applyFont="1" applyFill="1" applyAlignment="1" applyProtection="1">
      <alignment vertical="center"/>
      <protection locked="0" hidden="1"/>
    </xf>
    <xf numFmtId="0" fontId="13" fillId="8" borderId="7" xfId="0" applyFont="1" applyFill="1" applyBorder="1" applyAlignment="1" applyProtection="1">
      <alignment horizontal="center" vertical="center"/>
      <protection hidden="1"/>
    </xf>
    <xf numFmtId="0" fontId="13" fillId="8" borderId="8" xfId="0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vertical="center"/>
    </xf>
    <xf numFmtId="0" fontId="8" fillId="0" borderId="0" xfId="0" applyFont="1"/>
    <xf numFmtId="14" fontId="0" fillId="3" borderId="0" xfId="0" applyNumberFormat="1" applyFill="1" applyProtection="1">
      <protection hidden="1"/>
    </xf>
    <xf numFmtId="169" fontId="0" fillId="0" borderId="0" xfId="0" applyNumberFormat="1"/>
    <xf numFmtId="0" fontId="3" fillId="0" borderId="9" xfId="0" applyFont="1" applyBorder="1" applyAlignment="1">
      <alignment horizontal="right"/>
    </xf>
    <xf numFmtId="169" fontId="22" fillId="3" borderId="10" xfId="31" applyNumberFormat="1" applyFont="1" applyFill="1" applyBorder="1" applyAlignment="1">
      <alignment horizontal="center" vertical="center"/>
    </xf>
    <xf numFmtId="0" fontId="8" fillId="3" borderId="0" xfId="0" applyFont="1" applyFill="1" applyAlignment="1" applyProtection="1">
      <alignment textRotation="90" wrapText="1"/>
      <protection hidden="1"/>
    </xf>
    <xf numFmtId="0" fontId="13" fillId="3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 wrapText="1"/>
      <protection hidden="1"/>
    </xf>
    <xf numFmtId="14" fontId="0" fillId="0" borderId="0" xfId="0" applyNumberFormat="1"/>
    <xf numFmtId="0" fontId="2" fillId="0" borderId="0" xfId="0" applyFont="1"/>
    <xf numFmtId="169" fontId="22" fillId="3" borderId="14" xfId="31" applyNumberFormat="1" applyFont="1" applyFill="1" applyBorder="1" applyAlignment="1">
      <alignment horizontal="center" vertical="center"/>
    </xf>
    <xf numFmtId="0" fontId="22" fillId="3" borderId="16" xfId="31" applyFont="1" applyFill="1" applyBorder="1" applyAlignment="1">
      <alignment horizontal="center" vertical="center"/>
    </xf>
    <xf numFmtId="0" fontId="22" fillId="0" borderId="18" xfId="31" applyFont="1" applyBorder="1" applyAlignment="1">
      <alignment horizontal="center" vertical="center"/>
    </xf>
    <xf numFmtId="0" fontId="22" fillId="3" borderId="18" xfId="31" applyFont="1" applyFill="1" applyBorder="1" applyAlignment="1">
      <alignment horizontal="center" vertical="center"/>
    </xf>
    <xf numFmtId="0" fontId="22" fillId="3" borderId="19" xfId="31" applyFont="1" applyFill="1" applyBorder="1" applyAlignment="1">
      <alignment horizontal="center" vertical="center"/>
    </xf>
    <xf numFmtId="169" fontId="22" fillId="3" borderId="3" xfId="31" applyNumberFormat="1" applyFont="1" applyFill="1" applyBorder="1" applyAlignment="1">
      <alignment horizontal="center" vertical="center"/>
    </xf>
    <xf numFmtId="0" fontId="20" fillId="0" borderId="3" xfId="31" applyBorder="1" applyAlignment="1">
      <alignment horizontal="left" vertical="center" shrinkToFit="1"/>
    </xf>
    <xf numFmtId="168" fontId="3" fillId="0" borderId="20" xfId="0" applyNumberFormat="1" applyFont="1" applyBorder="1" applyAlignment="1">
      <alignment horizontal="center" vertical="center"/>
    </xf>
    <xf numFmtId="169" fontId="22" fillId="3" borderId="11" xfId="31" applyNumberFormat="1" applyFont="1" applyFill="1" applyBorder="1" applyAlignment="1">
      <alignment horizontal="center" vertical="center"/>
    </xf>
    <xf numFmtId="168" fontId="3" fillId="0" borderId="21" xfId="0" applyNumberFormat="1" applyFont="1" applyBorder="1" applyAlignment="1">
      <alignment horizontal="center" vertical="center"/>
    </xf>
    <xf numFmtId="168" fontId="3" fillId="0" borderId="22" xfId="0" applyNumberFormat="1" applyFont="1" applyBorder="1" applyAlignment="1">
      <alignment horizontal="center" vertical="center"/>
    </xf>
    <xf numFmtId="169" fontId="22" fillId="3" borderId="13" xfId="31" applyNumberFormat="1" applyFont="1" applyFill="1" applyBorder="1" applyAlignment="1">
      <alignment horizontal="center" vertical="center"/>
    </xf>
    <xf numFmtId="168" fontId="3" fillId="0" borderId="23" xfId="0" applyNumberFormat="1" applyFont="1" applyBorder="1" applyAlignment="1">
      <alignment horizontal="center" vertical="center"/>
    </xf>
    <xf numFmtId="0" fontId="23" fillId="0" borderId="13" xfId="31" applyFont="1" applyBorder="1" applyAlignment="1">
      <alignment horizontal="left" vertical="center"/>
    </xf>
    <xf numFmtId="168" fontId="3" fillId="0" borderId="14" xfId="0" applyNumberFormat="1" applyFont="1" applyBorder="1" applyAlignment="1">
      <alignment horizontal="center" vertical="center"/>
    </xf>
    <xf numFmtId="168" fontId="3" fillId="0" borderId="24" xfId="0" applyNumberFormat="1" applyFont="1" applyBorder="1" applyAlignment="1">
      <alignment horizontal="center" vertical="center"/>
    </xf>
    <xf numFmtId="169" fontId="22" fillId="3" borderId="2" xfId="31" applyNumberFormat="1" applyFont="1" applyFill="1" applyBorder="1" applyAlignment="1">
      <alignment horizontal="center" vertical="center"/>
    </xf>
    <xf numFmtId="0" fontId="22" fillId="3" borderId="24" xfId="31" applyFont="1" applyFill="1" applyBorder="1" applyAlignment="1">
      <alignment horizontal="center" vertical="center"/>
    </xf>
    <xf numFmtId="0" fontId="23" fillId="0" borderId="2" xfId="31" applyFont="1" applyBorder="1" applyAlignment="1">
      <alignment horizontal="left" vertical="center"/>
    </xf>
    <xf numFmtId="0" fontId="20" fillId="0" borderId="26" xfId="31" applyBorder="1" applyAlignment="1">
      <alignment horizontal="right" vertical="center" shrinkToFit="1"/>
    </xf>
    <xf numFmtId="168" fontId="3" fillId="0" borderId="3" xfId="0" applyNumberFormat="1" applyFont="1" applyBorder="1" applyAlignment="1">
      <alignment horizontal="center" vertical="center"/>
    </xf>
    <xf numFmtId="0" fontId="20" fillId="0" borderId="25" xfId="31" applyBorder="1" applyAlignment="1">
      <alignment horizontal="right" vertical="center" shrinkToFit="1"/>
    </xf>
    <xf numFmtId="20" fontId="0" fillId="0" borderId="0" xfId="0" applyNumberFormat="1"/>
    <xf numFmtId="20" fontId="2" fillId="0" borderId="0" xfId="0" applyNumberFormat="1" applyFont="1"/>
    <xf numFmtId="172" fontId="23" fillId="3" borderId="3" xfId="32" applyNumberFormat="1" applyFill="1" applyBorder="1" applyAlignment="1">
      <alignment horizontal="center" vertical="center"/>
    </xf>
    <xf numFmtId="172" fontId="23" fillId="0" borderId="3" xfId="32" applyNumberFormat="1" applyBorder="1" applyAlignment="1">
      <alignment horizontal="center" vertical="center"/>
    </xf>
    <xf numFmtId="172" fontId="23" fillId="0" borderId="11" xfId="32" applyNumberFormat="1" applyBorder="1" applyAlignment="1">
      <alignment horizontal="center" vertical="center"/>
    </xf>
    <xf numFmtId="172" fontId="22" fillId="3" borderId="3" xfId="32" applyNumberFormat="1" applyFont="1" applyFill="1" applyBorder="1" applyAlignment="1">
      <alignment horizontal="center" vertical="center"/>
    </xf>
    <xf numFmtId="172" fontId="22" fillId="0" borderId="3" xfId="32" applyNumberFormat="1" applyFont="1" applyBorder="1" applyAlignment="1">
      <alignment horizontal="center" vertical="center"/>
    </xf>
    <xf numFmtId="172" fontId="22" fillId="3" borderId="25" xfId="31" applyNumberFormat="1" applyFont="1" applyFill="1" applyBorder="1" applyAlignment="1">
      <alignment horizontal="center" vertical="center"/>
    </xf>
    <xf numFmtId="172" fontId="23" fillId="3" borderId="10" xfId="32" applyNumberFormat="1" applyFill="1" applyBorder="1" applyAlignment="1">
      <alignment horizontal="center" vertical="center"/>
    </xf>
    <xf numFmtId="172" fontId="20" fillId="3" borderId="3" xfId="31" applyNumberFormat="1" applyFill="1" applyBorder="1" applyAlignment="1">
      <alignment horizontal="center" vertical="center"/>
    </xf>
    <xf numFmtId="172" fontId="20" fillId="3" borderId="13" xfId="31" applyNumberFormat="1" applyFill="1" applyBorder="1" applyAlignment="1">
      <alignment horizontal="center" vertical="center"/>
    </xf>
    <xf numFmtId="172" fontId="22" fillId="3" borderId="26" xfId="31" applyNumberFormat="1" applyFont="1" applyFill="1" applyBorder="1" applyAlignment="1">
      <alignment horizontal="center" vertical="center"/>
    </xf>
    <xf numFmtId="172" fontId="23" fillId="0" borderId="10" xfId="32" applyNumberFormat="1" applyBorder="1" applyAlignment="1">
      <alignment horizontal="center" vertical="center"/>
    </xf>
    <xf numFmtId="172" fontId="23" fillId="0" borderId="3" xfId="32" applyNumberFormat="1" applyBorder="1" applyAlignment="1">
      <alignment horizontal="center"/>
    </xf>
    <xf numFmtId="172" fontId="0" fillId="0" borderId="0" xfId="0" applyNumberFormat="1" applyAlignment="1">
      <alignment horizontal="center"/>
    </xf>
    <xf numFmtId="172" fontId="20" fillId="0" borderId="3" xfId="31" applyNumberFormat="1" applyBorder="1" applyAlignment="1">
      <alignment horizontal="center" vertical="center"/>
    </xf>
    <xf numFmtId="172" fontId="22" fillId="0" borderId="3" xfId="31" applyNumberFormat="1" applyFont="1" applyBorder="1" applyAlignment="1">
      <alignment horizontal="center" vertical="center"/>
    </xf>
    <xf numFmtId="172" fontId="3" fillId="0" borderId="25" xfId="0" applyNumberFormat="1" applyFont="1" applyBorder="1" applyAlignment="1">
      <alignment horizontal="center" vertical="center"/>
    </xf>
    <xf numFmtId="172" fontId="3" fillId="0" borderId="26" xfId="0" applyNumberFormat="1" applyFont="1" applyBorder="1" applyAlignment="1">
      <alignment horizontal="center" vertical="center"/>
    </xf>
    <xf numFmtId="0" fontId="6" fillId="0" borderId="0" xfId="0" applyFont="1"/>
    <xf numFmtId="0" fontId="20" fillId="0" borderId="13" xfId="31" applyBorder="1" applyAlignment="1">
      <alignment horizontal="left" vertical="center"/>
    </xf>
    <xf numFmtId="0" fontId="22" fillId="3" borderId="17" xfId="31" applyFont="1" applyFill="1" applyBorder="1" applyAlignment="1">
      <alignment horizontal="center" vertical="center"/>
    </xf>
    <xf numFmtId="0" fontId="3" fillId="0" borderId="34" xfId="0" quotePrefix="1" applyFont="1" applyBorder="1" applyAlignment="1">
      <alignment horizontal="left"/>
    </xf>
    <xf numFmtId="0" fontId="3" fillId="0" borderId="28" xfId="0" quotePrefix="1" applyFont="1" applyBorder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0" xfId="0" applyFont="1" applyFill="1"/>
    <xf numFmtId="0" fontId="3" fillId="3" borderId="3" xfId="0" applyFont="1" applyFill="1" applyBorder="1" applyAlignment="1">
      <alignment horizontal="center" vertical="center"/>
    </xf>
    <xf numFmtId="0" fontId="13" fillId="3" borderId="0" xfId="0" applyFont="1" applyFill="1"/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10" fillId="3" borderId="0" xfId="0" applyFont="1" applyFill="1"/>
    <xf numFmtId="0" fontId="3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14" fontId="13" fillId="3" borderId="2" xfId="0" applyNumberFormat="1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16" xfId="0" applyFont="1" applyFill="1" applyBorder="1"/>
    <xf numFmtId="0" fontId="13" fillId="3" borderId="3" xfId="0" applyFont="1" applyFill="1" applyBorder="1" applyAlignment="1">
      <alignment horizontal="center" vertical="center"/>
    </xf>
    <xf numFmtId="0" fontId="2" fillId="3" borderId="10" xfId="0" applyFont="1" applyFill="1" applyBorder="1"/>
    <xf numFmtId="0" fontId="14" fillId="3" borderId="0" xfId="0" applyFont="1" applyFill="1" applyAlignment="1">
      <alignment horizontal="center" vertical="center" wrapText="1"/>
    </xf>
    <xf numFmtId="16" fontId="0" fillId="3" borderId="3" xfId="0" applyNumberFormat="1" applyFill="1" applyBorder="1" applyAlignment="1">
      <alignment horizontal="center" vertical="center" shrinkToFit="1"/>
    </xf>
    <xf numFmtId="16" fontId="3" fillId="3" borderId="3" xfId="0" applyNumberFormat="1" applyFont="1" applyFill="1" applyBorder="1" applyAlignment="1">
      <alignment horizontal="center" vertical="center"/>
    </xf>
    <xf numFmtId="0" fontId="0" fillId="3" borderId="12" xfId="0" applyFill="1" applyBorder="1"/>
    <xf numFmtId="14" fontId="0" fillId="3" borderId="0" xfId="0" applyNumberFormat="1" applyFill="1"/>
    <xf numFmtId="0" fontId="20" fillId="3" borderId="0" xfId="0" applyFont="1" applyFill="1"/>
    <xf numFmtId="0" fontId="0" fillId="9" borderId="0" xfId="0" applyFill="1"/>
    <xf numFmtId="0" fontId="14" fillId="3" borderId="0" xfId="0" applyFont="1" applyFill="1" applyAlignment="1">
      <alignment vertical="center" wrapText="1"/>
    </xf>
    <xf numFmtId="169" fontId="22" fillId="3" borderId="11" xfId="31" applyNumberFormat="1" applyFont="1" applyFill="1" applyBorder="1" applyAlignment="1" applyProtection="1">
      <alignment horizontal="center" vertical="center"/>
      <protection locked="0"/>
    </xf>
    <xf numFmtId="0" fontId="20" fillId="0" borderId="11" xfId="32" applyFont="1" applyBorder="1" applyAlignment="1" applyProtection="1">
      <alignment horizontal="center" vertical="center"/>
      <protection locked="0"/>
    </xf>
    <xf numFmtId="171" fontId="20" fillId="3" borderId="11" xfId="32" applyNumberFormat="1" applyFont="1" applyFill="1" applyBorder="1" applyAlignment="1" applyProtection="1">
      <alignment horizontal="center" vertical="center"/>
      <protection locked="0"/>
    </xf>
    <xf numFmtId="169" fontId="22" fillId="3" borderId="3" xfId="31" applyNumberFormat="1" applyFont="1" applyFill="1" applyBorder="1" applyAlignment="1" applyProtection="1">
      <alignment horizontal="center" vertical="center"/>
      <protection locked="0"/>
    </xf>
    <xf numFmtId="0" fontId="23" fillId="0" borderId="3" xfId="32" applyBorder="1" applyAlignment="1" applyProtection="1">
      <alignment horizontal="center" vertical="center"/>
      <protection locked="0"/>
    </xf>
    <xf numFmtId="171" fontId="20" fillId="3" borderId="3" xfId="32" applyNumberFormat="1" applyFont="1" applyFill="1" applyBorder="1" applyAlignment="1" applyProtection="1">
      <alignment horizontal="center" vertical="center"/>
      <protection locked="0"/>
    </xf>
    <xf numFmtId="0" fontId="20" fillId="3" borderId="3" xfId="32" applyFont="1" applyFill="1" applyBorder="1" applyAlignment="1" applyProtection="1">
      <alignment horizontal="center" vertical="center"/>
      <protection locked="0"/>
    </xf>
    <xf numFmtId="0" fontId="23" fillId="3" borderId="3" xfId="32" applyFill="1" applyBorder="1" applyAlignment="1" applyProtection="1">
      <alignment horizontal="center" vertical="center"/>
      <protection locked="0"/>
    </xf>
    <xf numFmtId="0" fontId="20" fillId="0" borderId="3" xfId="32" applyFont="1" applyBorder="1" applyAlignment="1" applyProtection="1">
      <alignment horizontal="center" vertical="center"/>
      <protection locked="0"/>
    </xf>
    <xf numFmtId="169" fontId="22" fillId="3" borderId="13" xfId="31" applyNumberFormat="1" applyFont="1" applyFill="1" applyBorder="1" applyAlignment="1" applyProtection="1">
      <alignment horizontal="center" vertical="center"/>
      <protection locked="0"/>
    </xf>
    <xf numFmtId="0" fontId="20" fillId="0" borderId="13" xfId="32" applyFont="1" applyBorder="1" applyAlignment="1" applyProtection="1">
      <alignment horizontal="center" vertical="center"/>
      <protection locked="0"/>
    </xf>
    <xf numFmtId="171" fontId="20" fillId="3" borderId="13" xfId="32" applyNumberFormat="1" applyFont="1" applyFill="1" applyBorder="1" applyAlignment="1" applyProtection="1">
      <alignment horizontal="center" vertical="center"/>
      <protection locked="0"/>
    </xf>
    <xf numFmtId="172" fontId="23" fillId="0" borderId="11" xfId="32" applyNumberFormat="1" applyBorder="1" applyAlignment="1" applyProtection="1">
      <alignment horizontal="center" vertical="center"/>
      <protection locked="0"/>
    </xf>
    <xf numFmtId="0" fontId="20" fillId="0" borderId="11" xfId="32" applyFont="1" applyBorder="1" applyAlignment="1" applyProtection="1">
      <alignment horizontal="left" vertical="center" shrinkToFit="1"/>
      <protection locked="0"/>
    </xf>
    <xf numFmtId="172" fontId="23" fillId="0" borderId="3" xfId="32" applyNumberFormat="1" applyBorder="1" applyAlignment="1" applyProtection="1">
      <alignment horizontal="center" vertical="center"/>
      <protection locked="0"/>
    </xf>
    <xf numFmtId="0" fontId="23" fillId="0" borderId="3" xfId="32" applyBorder="1" applyAlignment="1" applyProtection="1">
      <alignment horizontal="left" vertical="center" shrinkToFit="1"/>
      <protection locked="0"/>
    </xf>
    <xf numFmtId="172" fontId="23" fillId="3" borderId="3" xfId="32" applyNumberFormat="1" applyFill="1" applyBorder="1" applyAlignment="1" applyProtection="1">
      <alignment horizontal="center" vertical="center"/>
      <protection locked="0"/>
    </xf>
    <xf numFmtId="0" fontId="20" fillId="3" borderId="3" xfId="32" applyFont="1" applyFill="1" applyBorder="1" applyAlignment="1" applyProtection="1">
      <alignment horizontal="left" vertical="center" shrinkToFit="1"/>
      <protection locked="0"/>
    </xf>
    <xf numFmtId="172" fontId="22" fillId="3" borderId="3" xfId="32" applyNumberFormat="1" applyFont="1" applyFill="1" applyBorder="1" applyAlignment="1" applyProtection="1">
      <alignment horizontal="center" vertical="center"/>
      <protection locked="0"/>
    </xf>
    <xf numFmtId="0" fontId="20" fillId="0" borderId="3" xfId="32" applyFont="1" applyBorder="1" applyAlignment="1" applyProtection="1">
      <alignment horizontal="left" vertical="center" shrinkToFit="1"/>
      <protection locked="0"/>
    </xf>
    <xf numFmtId="172" fontId="22" fillId="0" borderId="3" xfId="32" applyNumberFormat="1" applyFont="1" applyBorder="1" applyAlignment="1" applyProtection="1">
      <alignment horizontal="center" vertical="center"/>
      <protection locked="0"/>
    </xf>
    <xf numFmtId="172" fontId="23" fillId="0" borderId="13" xfId="32" applyNumberFormat="1" applyBorder="1" applyAlignment="1" applyProtection="1">
      <alignment horizontal="center" vertical="center"/>
      <protection locked="0"/>
    </xf>
    <xf numFmtId="0" fontId="20" fillId="0" borderId="13" xfId="32" applyFont="1" applyBorder="1" applyAlignment="1" applyProtection="1">
      <alignment horizontal="left" vertical="center" shrinkToFit="1"/>
      <protection locked="0"/>
    </xf>
    <xf numFmtId="171" fontId="20" fillId="3" borderId="10" xfId="32" applyNumberFormat="1" applyFont="1" applyFill="1" applyBorder="1" applyAlignment="1" applyProtection="1">
      <alignment horizontal="center" vertical="center"/>
      <protection locked="0"/>
    </xf>
    <xf numFmtId="0" fontId="20" fillId="0" borderId="3" xfId="31" applyBorder="1" applyAlignment="1" applyProtection="1">
      <alignment horizontal="center" vertical="center"/>
      <protection locked="0"/>
    </xf>
    <xf numFmtId="0" fontId="20" fillId="3" borderId="3" xfId="31" applyFill="1" applyBorder="1" applyAlignment="1" applyProtection="1">
      <alignment horizontal="center" vertical="center"/>
      <protection locked="0"/>
    </xf>
    <xf numFmtId="0" fontId="20" fillId="0" borderId="13" xfId="31" applyBorder="1" applyAlignment="1" applyProtection="1">
      <alignment horizontal="center" vertical="center"/>
      <protection locked="0"/>
    </xf>
    <xf numFmtId="172" fontId="23" fillId="3" borderId="10" xfId="32" applyNumberFormat="1" applyFill="1" applyBorder="1" applyAlignment="1" applyProtection="1">
      <alignment horizontal="center" vertical="center"/>
      <protection locked="0"/>
    </xf>
    <xf numFmtId="0" fontId="20" fillId="3" borderId="10" xfId="32" applyFont="1" applyFill="1" applyBorder="1" applyAlignment="1" applyProtection="1">
      <alignment horizontal="left" vertical="center" shrinkToFit="1"/>
      <protection locked="0"/>
    </xf>
    <xf numFmtId="172" fontId="20" fillId="0" borderId="3" xfId="31" applyNumberFormat="1" applyBorder="1" applyAlignment="1" applyProtection="1">
      <alignment horizontal="center" vertical="center"/>
      <protection locked="0"/>
    </xf>
    <xf numFmtId="0" fontId="20" fillId="0" borderId="3" xfId="31" applyBorder="1" applyAlignment="1" applyProtection="1">
      <alignment horizontal="left" vertical="center" shrinkToFit="1"/>
      <protection locked="0"/>
    </xf>
    <xf numFmtId="172" fontId="20" fillId="3" borderId="3" xfId="31" applyNumberFormat="1" applyFill="1" applyBorder="1" applyAlignment="1" applyProtection="1">
      <alignment horizontal="center" vertical="center"/>
      <protection locked="0"/>
    </xf>
    <xf numFmtId="172" fontId="22" fillId="0" borderId="3" xfId="31" applyNumberFormat="1" applyFont="1" applyBorder="1" applyAlignment="1" applyProtection="1">
      <alignment horizontal="center" vertical="center"/>
      <protection locked="0"/>
    </xf>
    <xf numFmtId="172" fontId="20" fillId="0" borderId="13" xfId="31" applyNumberFormat="1" applyBorder="1" applyAlignment="1" applyProtection="1">
      <alignment horizontal="center" vertical="center"/>
      <protection locked="0"/>
    </xf>
    <xf numFmtId="0" fontId="20" fillId="0" borderId="13" xfId="31" applyBorder="1" applyAlignment="1" applyProtection="1">
      <alignment horizontal="left" vertical="center" shrinkToFit="1"/>
      <protection locked="0"/>
    </xf>
    <xf numFmtId="169" fontId="22" fillId="3" borderId="10" xfId="31" applyNumberFormat="1" applyFont="1" applyFill="1" applyBorder="1" applyAlignment="1" applyProtection="1">
      <alignment horizontal="center" vertical="center"/>
      <protection locked="0"/>
    </xf>
    <xf numFmtId="0" fontId="20" fillId="3" borderId="10" xfId="32" applyFont="1" applyFill="1" applyBorder="1" applyAlignment="1" applyProtection="1">
      <alignment horizontal="center" vertical="center"/>
      <protection locked="0"/>
    </xf>
    <xf numFmtId="0" fontId="23" fillId="3" borderId="3" xfId="31" applyFont="1" applyFill="1" applyBorder="1" applyAlignment="1" applyProtection="1">
      <alignment horizontal="center" vertical="center"/>
      <protection locked="0"/>
    </xf>
    <xf numFmtId="0" fontId="23" fillId="3" borderId="13" xfId="31" applyFont="1" applyFill="1" applyBorder="1" applyAlignment="1" applyProtection="1">
      <alignment horizontal="center" vertical="center"/>
      <protection locked="0"/>
    </xf>
    <xf numFmtId="0" fontId="23" fillId="3" borderId="3" xfId="31" applyFont="1" applyFill="1" applyBorder="1" applyAlignment="1" applyProtection="1">
      <alignment horizontal="left" vertical="center" shrinkToFit="1"/>
      <protection locked="0"/>
    </xf>
    <xf numFmtId="0" fontId="23" fillId="3" borderId="13" xfId="31" applyFont="1" applyFill="1" applyBorder="1" applyAlignment="1" applyProtection="1">
      <alignment horizontal="left" vertical="center" shrinkToFit="1"/>
      <protection locked="0"/>
    </xf>
    <xf numFmtId="0" fontId="20" fillId="3" borderId="10" xfId="31" applyFill="1" applyBorder="1" applyAlignment="1" applyProtection="1">
      <alignment horizontal="center" vertical="center"/>
      <protection locked="0"/>
    </xf>
    <xf numFmtId="171" fontId="44" fillId="0" borderId="3" xfId="33" applyNumberFormat="1" applyFont="1" applyBorder="1" applyAlignment="1" applyProtection="1">
      <alignment horizontal="center" vertical="center"/>
      <protection locked="0"/>
    </xf>
    <xf numFmtId="171" fontId="44" fillId="0" borderId="13" xfId="33" applyNumberFormat="1" applyFont="1" applyBorder="1" applyAlignment="1" applyProtection="1">
      <alignment horizontal="center" vertical="center"/>
      <protection locked="0"/>
    </xf>
    <xf numFmtId="0" fontId="20" fillId="0" borderId="10" xfId="32" applyFont="1" applyBorder="1" applyAlignment="1" applyProtection="1">
      <alignment horizontal="left" vertical="center" shrinkToFit="1"/>
      <protection locked="0"/>
    </xf>
    <xf numFmtId="0" fontId="20" fillId="3" borderId="3" xfId="31" applyFill="1" applyBorder="1" applyAlignment="1" applyProtection="1">
      <alignment horizontal="left" vertical="center" shrinkToFit="1"/>
      <protection locked="0"/>
    </xf>
    <xf numFmtId="0" fontId="27" fillId="0" borderId="3" xfId="33" applyBorder="1" applyAlignment="1" applyProtection="1">
      <alignment shrinkToFit="1"/>
      <protection locked="0"/>
    </xf>
    <xf numFmtId="0" fontId="27" fillId="0" borderId="13" xfId="33" applyBorder="1" applyAlignment="1" applyProtection="1">
      <alignment shrinkToFit="1"/>
      <protection locked="0"/>
    </xf>
    <xf numFmtId="169" fontId="22" fillId="3" borderId="2" xfId="31" applyNumberFormat="1" applyFont="1" applyFill="1" applyBorder="1" applyAlignment="1" applyProtection="1">
      <alignment horizontal="center" vertical="center"/>
      <protection locked="0"/>
    </xf>
    <xf numFmtId="0" fontId="20" fillId="3" borderId="2" xfId="32" applyFont="1" applyFill="1" applyBorder="1" applyAlignment="1" applyProtection="1">
      <alignment horizontal="center" vertical="center"/>
      <protection locked="0"/>
    </xf>
    <xf numFmtId="171" fontId="20" fillId="3" borderId="2" xfId="32" applyNumberFormat="1" applyFont="1" applyFill="1" applyBorder="1" applyAlignment="1" applyProtection="1">
      <alignment horizontal="center" vertical="center"/>
      <protection locked="0"/>
    </xf>
    <xf numFmtId="169" fontId="22" fillId="3" borderId="14" xfId="31" applyNumberFormat="1" applyFont="1" applyFill="1" applyBorder="1" applyAlignment="1" applyProtection="1">
      <alignment horizontal="center" vertical="center"/>
      <protection locked="0"/>
    </xf>
    <xf numFmtId="0" fontId="23" fillId="3" borderId="14" xfId="32" applyFill="1" applyBorder="1" applyAlignment="1" applyProtection="1">
      <alignment horizontal="center" vertical="center"/>
      <protection locked="0"/>
    </xf>
    <xf numFmtId="171" fontId="20" fillId="3" borderId="14" xfId="32" applyNumberFormat="1" applyFont="1" applyFill="1" applyBorder="1" applyAlignment="1" applyProtection="1">
      <alignment horizontal="center" vertical="center"/>
      <protection locked="0"/>
    </xf>
    <xf numFmtId="0" fontId="23" fillId="3" borderId="10" xfId="32" applyFill="1" applyBorder="1" applyAlignment="1" applyProtection="1">
      <alignment horizontal="left" vertical="center" shrinkToFit="1"/>
      <protection locked="0"/>
    </xf>
    <xf numFmtId="172" fontId="23" fillId="3" borderId="2" xfId="32" applyNumberFormat="1" applyFill="1" applyBorder="1" applyAlignment="1" applyProtection="1">
      <alignment horizontal="center" vertical="center"/>
      <protection locked="0"/>
    </xf>
    <xf numFmtId="172" fontId="23" fillId="0" borderId="14" xfId="32" applyNumberFormat="1" applyBorder="1" applyAlignment="1" applyProtection="1">
      <alignment horizontal="center" vertical="center"/>
      <protection locked="0"/>
    </xf>
    <xf numFmtId="0" fontId="20" fillId="0" borderId="14" xfId="32" applyFont="1" applyBorder="1" applyAlignment="1" applyProtection="1">
      <alignment horizontal="left" vertical="center" shrinkToFit="1"/>
      <protection locked="0"/>
    </xf>
    <xf numFmtId="0" fontId="23" fillId="0" borderId="13" xfId="31" applyFont="1" applyBorder="1" applyAlignment="1" applyProtection="1">
      <alignment horizontal="center" vertical="center"/>
      <protection locked="0"/>
    </xf>
    <xf numFmtId="0" fontId="23" fillId="0" borderId="13" xfId="32" applyBorder="1" applyAlignment="1" applyProtection="1">
      <alignment horizontal="left" vertical="center" shrinkToFit="1"/>
      <protection locked="0"/>
    </xf>
    <xf numFmtId="0" fontId="23" fillId="0" borderId="13" xfId="32" applyBorder="1" applyAlignment="1" applyProtection="1">
      <alignment horizontal="center" vertical="center"/>
      <protection locked="0"/>
    </xf>
    <xf numFmtId="172" fontId="23" fillId="0" borderId="10" xfId="32" applyNumberFormat="1" applyBorder="1" applyAlignment="1" applyProtection="1">
      <alignment horizontal="center" vertical="center"/>
      <protection locked="0"/>
    </xf>
    <xf numFmtId="172" fontId="20" fillId="0" borderId="3" xfId="32" applyNumberFormat="1" applyFont="1" applyBorder="1" applyAlignment="1" applyProtection="1">
      <alignment horizontal="center" vertical="center"/>
      <protection locked="0"/>
    </xf>
    <xf numFmtId="172" fontId="23" fillId="0" borderId="3" xfId="32" applyNumberFormat="1" applyBorder="1" applyAlignment="1" applyProtection="1">
      <alignment horizontal="center"/>
      <protection locked="0"/>
    </xf>
    <xf numFmtId="0" fontId="20" fillId="0" borderId="10" xfId="32" applyFont="1" applyBorder="1" applyAlignment="1" applyProtection="1">
      <alignment horizontal="center" vertical="center"/>
      <protection locked="0"/>
    </xf>
    <xf numFmtId="0" fontId="23" fillId="0" borderId="2" xfId="31" applyFont="1" applyBorder="1" applyAlignment="1" applyProtection="1">
      <alignment horizontal="center" vertical="center"/>
      <protection locked="0"/>
    </xf>
    <xf numFmtId="172" fontId="20" fillId="0" borderId="2" xfId="31" applyNumberFormat="1" applyBorder="1" applyAlignment="1" applyProtection="1">
      <alignment horizontal="center" vertical="center"/>
      <protection locked="0"/>
    </xf>
    <xf numFmtId="0" fontId="23" fillId="0" borderId="2" xfId="31" applyFont="1" applyBorder="1" applyAlignment="1" applyProtection="1">
      <alignment horizontal="left" vertical="center" shrinkToFit="1"/>
      <protection locked="0"/>
    </xf>
    <xf numFmtId="0" fontId="20" fillId="3" borderId="3" xfId="31" applyFill="1" applyBorder="1" applyAlignment="1" applyProtection="1">
      <alignment horizontal="center" vertical="center" wrapText="1"/>
      <protection locked="0"/>
    </xf>
    <xf numFmtId="0" fontId="20" fillId="0" borderId="2" xfId="31" applyBorder="1" applyAlignment="1" applyProtection="1">
      <alignment horizontal="center" vertical="center"/>
      <protection locked="0"/>
    </xf>
    <xf numFmtId="172" fontId="20" fillId="3" borderId="3" xfId="32" applyNumberFormat="1" applyFont="1" applyFill="1" applyBorder="1" applyAlignment="1" applyProtection="1">
      <alignment horizontal="center" vertical="center"/>
      <protection locked="0"/>
    </xf>
    <xf numFmtId="0" fontId="20" fillId="0" borderId="38" xfId="32" applyFont="1" applyBorder="1" applyAlignment="1" applyProtection="1">
      <alignment horizontal="left" vertical="center" shrinkToFit="1"/>
      <protection locked="0"/>
    </xf>
    <xf numFmtId="0" fontId="20" fillId="3" borderId="38" xfId="32" applyFont="1" applyFill="1" applyBorder="1" applyAlignment="1" applyProtection="1">
      <alignment horizontal="left" vertical="center" shrinkToFit="1"/>
      <protection locked="0"/>
    </xf>
    <xf numFmtId="0" fontId="20" fillId="0" borderId="38" xfId="31" applyBorder="1" applyAlignment="1" applyProtection="1">
      <alignment horizontal="left" vertical="center" shrinkToFit="1"/>
      <protection locked="0"/>
    </xf>
    <xf numFmtId="0" fontId="20" fillId="3" borderId="38" xfId="31" applyFill="1" applyBorder="1" applyAlignment="1" applyProtection="1">
      <alignment horizontal="left" vertical="center" shrinkToFit="1"/>
      <protection locked="0"/>
    </xf>
    <xf numFmtId="0" fontId="27" fillId="0" borderId="38" xfId="33" applyBorder="1" applyAlignment="1" applyProtection="1">
      <alignment shrinkToFit="1"/>
      <protection locked="0"/>
    </xf>
    <xf numFmtId="0" fontId="20" fillId="3" borderId="9" xfId="32" applyFont="1" applyFill="1" applyBorder="1" applyAlignment="1" applyProtection="1">
      <alignment horizontal="left" vertical="center" shrinkToFit="1"/>
      <protection locked="0"/>
    </xf>
    <xf numFmtId="0" fontId="20" fillId="0" borderId="9" xfId="32" applyFont="1" applyBorder="1" applyAlignment="1" applyProtection="1">
      <alignment horizontal="left" vertical="center" shrinkToFit="1"/>
      <protection locked="0"/>
    </xf>
    <xf numFmtId="0" fontId="20" fillId="0" borderId="9" xfId="31" applyBorder="1" applyAlignment="1" applyProtection="1">
      <alignment horizontal="left" vertical="center" shrinkToFit="1"/>
      <protection locked="0"/>
    </xf>
    <xf numFmtId="0" fontId="20" fillId="3" borderId="9" xfId="31" applyFill="1" applyBorder="1" applyAlignment="1" applyProtection="1">
      <alignment horizontal="left" vertical="center" shrinkToFit="1"/>
      <protection locked="0"/>
    </xf>
    <xf numFmtId="0" fontId="0" fillId="0" borderId="1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4" xfId="0" applyBorder="1" applyProtection="1">
      <protection locked="0"/>
    </xf>
    <xf numFmtId="0" fontId="2" fillId="5" borderId="3" xfId="173" applyFill="1" applyBorder="1" applyAlignment="1" applyProtection="1">
      <alignment horizontal="center" vertical="center"/>
      <protection hidden="1"/>
    </xf>
    <xf numFmtId="0" fontId="3" fillId="5" borderId="9" xfId="173" applyFont="1" applyFill="1" applyBorder="1" applyAlignment="1" applyProtection="1">
      <alignment horizontal="center" vertical="center"/>
      <protection hidden="1"/>
    </xf>
    <xf numFmtId="0" fontId="3" fillId="5" borderId="40" xfId="173" applyFont="1" applyFill="1" applyBorder="1" applyAlignment="1" applyProtection="1">
      <alignment horizontal="center" vertical="center"/>
      <protection hidden="1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" fontId="0" fillId="0" borderId="21" xfId="0" applyNumberFormat="1" applyBorder="1" applyAlignment="1">
      <alignment horizontal="center" vertical="center"/>
    </xf>
    <xf numFmtId="1" fontId="0" fillId="0" borderId="22" xfId="0" applyNumberFormat="1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172" fontId="22" fillId="3" borderId="10" xfId="32" applyNumberFormat="1" applyFont="1" applyFill="1" applyBorder="1" applyAlignment="1">
      <alignment horizontal="center" vertical="center"/>
    </xf>
    <xf numFmtId="172" fontId="21" fillId="0" borderId="3" xfId="31" applyNumberFormat="1" applyFont="1" applyBorder="1" applyAlignment="1">
      <alignment horizontal="center" vertical="center" wrapText="1"/>
    </xf>
    <xf numFmtId="172" fontId="23" fillId="3" borderId="9" xfId="32" applyNumberFormat="1" applyFill="1" applyBorder="1" applyAlignment="1">
      <alignment horizontal="center" vertical="center"/>
    </xf>
    <xf numFmtId="172" fontId="23" fillId="0" borderId="33" xfId="32" applyNumberFormat="1" applyBorder="1" applyAlignment="1" applyProtection="1">
      <alignment horizontal="center" vertical="center"/>
      <protection locked="0"/>
    </xf>
    <xf numFmtId="172" fontId="21" fillId="0" borderId="2" xfId="31" applyNumberFormat="1" applyFont="1" applyBorder="1" applyAlignment="1">
      <alignment horizontal="center" vertical="center" wrapText="1"/>
    </xf>
    <xf numFmtId="172" fontId="20" fillId="3" borderId="33" xfId="31" applyNumberFormat="1" applyFill="1" applyBorder="1" applyAlignment="1" applyProtection="1">
      <alignment horizontal="center" vertical="center"/>
      <protection locked="0"/>
    </xf>
    <xf numFmtId="20" fontId="0" fillId="0" borderId="3" xfId="0" applyNumberFormat="1" applyBorder="1" applyAlignment="1" applyProtection="1">
      <alignment horizontal="center" vertical="center"/>
      <protection locked="0"/>
    </xf>
    <xf numFmtId="20" fontId="0" fillId="0" borderId="13" xfId="0" applyNumberFormat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locked="0"/>
    </xf>
    <xf numFmtId="172" fontId="0" fillId="0" borderId="3" xfId="0" applyNumberFormat="1" applyBorder="1" applyAlignment="1">
      <alignment horizontal="center"/>
    </xf>
    <xf numFmtId="172" fontId="23" fillId="0" borderId="32" xfId="32" applyNumberFormat="1" applyBorder="1" applyAlignment="1">
      <alignment horizontal="center" vertical="center"/>
    </xf>
    <xf numFmtId="172" fontId="23" fillId="0" borderId="28" xfId="32" applyNumberFormat="1" applyBorder="1" applyAlignment="1">
      <alignment horizontal="center" vertical="center"/>
    </xf>
    <xf numFmtId="172" fontId="23" fillId="3" borderId="28" xfId="32" applyNumberFormat="1" applyFill="1" applyBorder="1" applyAlignment="1">
      <alignment horizontal="center" vertical="center"/>
    </xf>
    <xf numFmtId="172" fontId="22" fillId="3" borderId="28" xfId="32" applyNumberFormat="1" applyFont="1" applyFill="1" applyBorder="1" applyAlignment="1">
      <alignment horizontal="center" vertical="center"/>
    </xf>
    <xf numFmtId="172" fontId="22" fillId="0" borderId="28" xfId="32" applyNumberFormat="1" applyFont="1" applyBorder="1" applyAlignment="1">
      <alignment horizontal="center" vertical="center"/>
    </xf>
    <xf numFmtId="172" fontId="23" fillId="0" borderId="9" xfId="32" applyNumberFormat="1" applyBorder="1" applyAlignment="1">
      <alignment horizontal="center" vertical="center"/>
    </xf>
    <xf numFmtId="172" fontId="21" fillId="0" borderId="28" xfId="31" applyNumberFormat="1" applyFont="1" applyBorder="1" applyAlignment="1">
      <alignment horizontal="center" vertical="center" wrapText="1"/>
    </xf>
    <xf numFmtId="172" fontId="21" fillId="0" borderId="37" xfId="31" applyNumberFormat="1" applyFont="1" applyBorder="1" applyAlignment="1">
      <alignment horizontal="center" vertical="center" wrapText="1"/>
    </xf>
    <xf numFmtId="172" fontId="23" fillId="0" borderId="13" xfId="32" applyNumberFormat="1" applyBorder="1" applyAlignment="1">
      <alignment horizontal="center" vertical="center"/>
    </xf>
    <xf numFmtId="172" fontId="23" fillId="3" borderId="55" xfId="32" applyNumberFormat="1" applyFill="1" applyBorder="1" applyAlignment="1">
      <alignment horizontal="center" vertical="center"/>
    </xf>
    <xf numFmtId="0" fontId="22" fillId="0" borderId="15" xfId="31" applyFont="1" applyBorder="1" applyAlignment="1">
      <alignment horizontal="centerContinuous" vertical="center"/>
    </xf>
    <xf numFmtId="0" fontId="20" fillId="0" borderId="15" xfId="31" applyBorder="1" applyAlignment="1">
      <alignment horizontal="centerContinuous" vertical="center"/>
    </xf>
    <xf numFmtId="172" fontId="23" fillId="0" borderId="2" xfId="32" applyNumberFormat="1" applyBorder="1" applyAlignment="1">
      <alignment horizontal="center" vertical="center"/>
    </xf>
    <xf numFmtId="172" fontId="23" fillId="3" borderId="2" xfId="32" applyNumberFormat="1" applyFill="1" applyBorder="1" applyAlignment="1">
      <alignment horizontal="center" vertical="center"/>
    </xf>
    <xf numFmtId="0" fontId="20" fillId="0" borderId="2" xfId="32" applyFont="1" applyBorder="1" applyAlignment="1" applyProtection="1">
      <alignment horizontal="left" vertical="center" shrinkToFit="1"/>
      <protection locked="0"/>
    </xf>
    <xf numFmtId="0" fontId="20" fillId="0" borderId="39" xfId="32" applyFont="1" applyBorder="1" applyAlignment="1" applyProtection="1">
      <alignment horizontal="left" vertical="center" shrinkToFit="1"/>
      <protection locked="0"/>
    </xf>
    <xf numFmtId="170" fontId="25" fillId="52" borderId="26" xfId="31" applyNumberFormat="1" applyFont="1" applyFill="1" applyBorder="1">
      <alignment vertical="center"/>
    </xf>
    <xf numFmtId="170" fontId="25" fillId="52" borderId="17" xfId="31" applyNumberFormat="1" applyFont="1" applyFill="1" applyBorder="1" applyAlignment="1">
      <alignment horizontal="centerContinuous" vertical="center"/>
    </xf>
    <xf numFmtId="170" fontId="25" fillId="52" borderId="26" xfId="31" applyNumberFormat="1" applyFont="1" applyFill="1" applyBorder="1" applyAlignment="1">
      <alignment horizontal="centerContinuous" vertical="center"/>
    </xf>
    <xf numFmtId="0" fontId="22" fillId="3" borderId="16" xfId="31" applyFont="1" applyFill="1" applyBorder="1" applyAlignment="1">
      <alignment horizontal="centerContinuous" vertical="center"/>
    </xf>
    <xf numFmtId="0" fontId="20" fillId="3" borderId="15" xfId="31" applyFill="1" applyBorder="1" applyAlignment="1">
      <alignment horizontal="centerContinuous" vertical="center"/>
    </xf>
    <xf numFmtId="0" fontId="20" fillId="3" borderId="0" xfId="31" applyFill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2" fillId="3" borderId="0" xfId="31" applyFont="1" applyFill="1" applyAlignment="1">
      <alignment horizontal="centerContinuous" vertical="center"/>
    </xf>
    <xf numFmtId="0" fontId="20" fillId="0" borderId="11" xfId="31" applyBorder="1" applyAlignment="1" applyProtection="1">
      <alignment horizontal="center" vertical="center"/>
      <protection locked="0"/>
    </xf>
    <xf numFmtId="172" fontId="23" fillId="3" borderId="11" xfId="32" applyNumberFormat="1" applyFill="1" applyBorder="1" applyAlignment="1">
      <alignment horizontal="center" vertical="center"/>
    </xf>
    <xf numFmtId="172" fontId="23" fillId="3" borderId="11" xfId="32" applyNumberFormat="1" applyFill="1" applyBorder="1" applyAlignment="1" applyProtection="1">
      <alignment horizontal="center" vertical="center"/>
      <protection locked="0"/>
    </xf>
    <xf numFmtId="0" fontId="20" fillId="3" borderId="11" xfId="32" applyFont="1" applyFill="1" applyBorder="1" applyAlignment="1" applyProtection="1">
      <alignment horizontal="left" vertical="center" shrinkToFit="1"/>
      <protection locked="0"/>
    </xf>
    <xf numFmtId="0" fontId="20" fillId="3" borderId="40" xfId="32" applyFont="1" applyFill="1" applyBorder="1" applyAlignment="1" applyProtection="1">
      <alignment horizontal="left" vertical="center" shrinkToFit="1"/>
      <protection locked="0"/>
    </xf>
    <xf numFmtId="172" fontId="23" fillId="3" borderId="13" xfId="32" applyNumberFormat="1" applyFill="1" applyBorder="1" applyAlignment="1">
      <alignment horizontal="center" vertical="center"/>
    </xf>
    <xf numFmtId="0" fontId="20" fillId="0" borderId="56" xfId="31" applyBorder="1" applyAlignment="1" applyProtection="1">
      <alignment horizontal="left" vertical="center" shrinkToFit="1"/>
      <protection locked="0"/>
    </xf>
    <xf numFmtId="0" fontId="20" fillId="3" borderId="11" xfId="31" applyFill="1" applyBorder="1" applyAlignment="1" applyProtection="1">
      <alignment horizontal="center" vertical="center"/>
      <protection locked="0"/>
    </xf>
    <xf numFmtId="172" fontId="20" fillId="3" borderId="11" xfId="31" applyNumberFormat="1" applyFill="1" applyBorder="1" applyAlignment="1">
      <alignment horizontal="center" vertical="center"/>
    </xf>
    <xf numFmtId="172" fontId="20" fillId="3" borderId="11" xfId="31" applyNumberFormat="1" applyFill="1" applyBorder="1" applyAlignment="1" applyProtection="1">
      <alignment horizontal="center" vertical="center"/>
      <protection locked="0"/>
    </xf>
    <xf numFmtId="0" fontId="20" fillId="0" borderId="40" xfId="32" applyFont="1" applyBorder="1" applyAlignment="1" applyProtection="1">
      <alignment horizontal="left" vertical="center" shrinkToFit="1"/>
      <protection locked="0"/>
    </xf>
    <xf numFmtId="0" fontId="20" fillId="0" borderId="57" xfId="31" applyBorder="1" applyAlignment="1" applyProtection="1">
      <alignment horizontal="left" vertical="center" shrinkToFit="1"/>
      <protection locked="0"/>
    </xf>
    <xf numFmtId="0" fontId="20" fillId="0" borderId="57" xfId="32" applyFont="1" applyBorder="1" applyAlignment="1" applyProtection="1">
      <alignment horizontal="left" vertical="center" shrinkToFit="1"/>
      <protection locked="0"/>
    </xf>
    <xf numFmtId="0" fontId="27" fillId="0" borderId="57" xfId="33" applyBorder="1" applyAlignment="1" applyProtection="1">
      <alignment shrinkToFit="1"/>
      <protection locked="0"/>
    </xf>
    <xf numFmtId="170" fontId="25" fillId="53" borderId="26" xfId="31" applyNumberFormat="1" applyFont="1" applyFill="1" applyBorder="1">
      <alignment vertical="center"/>
    </xf>
    <xf numFmtId="170" fontId="25" fillId="53" borderId="17" xfId="31" applyNumberFormat="1" applyFont="1" applyFill="1" applyBorder="1" applyAlignment="1">
      <alignment horizontal="centerContinuous" vertical="center"/>
    </xf>
    <xf numFmtId="170" fontId="25" fillId="53" borderId="26" xfId="31" applyNumberFormat="1" applyFont="1" applyFill="1" applyBorder="1" applyAlignment="1">
      <alignment horizontal="centerContinuous" vertical="center"/>
    </xf>
    <xf numFmtId="0" fontId="2" fillId="0" borderId="26" xfId="0" applyFont="1" applyBorder="1" applyAlignment="1">
      <alignment horizontal="right"/>
    </xf>
    <xf numFmtId="0" fontId="2" fillId="0" borderId="25" xfId="0" applyFont="1" applyBorder="1" applyAlignment="1">
      <alignment horizontal="right"/>
    </xf>
    <xf numFmtId="172" fontId="22" fillId="0" borderId="37" xfId="31" applyNumberFormat="1" applyFont="1" applyBorder="1" applyAlignment="1">
      <alignment horizontal="center" vertical="center" wrapText="1"/>
    </xf>
    <xf numFmtId="172" fontId="23" fillId="3" borderId="14" xfId="32" applyNumberFormat="1" applyFill="1" applyBorder="1" applyAlignment="1">
      <alignment horizontal="center" vertical="center"/>
    </xf>
    <xf numFmtId="0" fontId="2" fillId="0" borderId="41" xfId="0" applyFont="1" applyBorder="1" applyAlignment="1">
      <alignment horizontal="right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1" fontId="23" fillId="3" borderId="16" xfId="32" applyNumberFormat="1" applyFill="1" applyBorder="1" applyAlignment="1">
      <alignment horizontal="center" vertical="center"/>
    </xf>
    <xf numFmtId="1" fontId="23" fillId="3" borderId="41" xfId="32" applyNumberFormat="1" applyFill="1" applyBorder="1" applyAlignment="1">
      <alignment horizontal="center" vertical="center"/>
    </xf>
    <xf numFmtId="0" fontId="0" fillId="3" borderId="0" xfId="0" applyFill="1" applyProtection="1">
      <protection hidden="1"/>
    </xf>
    <xf numFmtId="0" fontId="0" fillId="0" borderId="0" xfId="0"/>
    <xf numFmtId="49" fontId="52" fillId="0" borderId="0" xfId="0" applyNumberFormat="1" applyFont="1" applyAlignment="1">
      <alignment horizontal="left" vertical="center" wrapText="1" readingOrder="1"/>
    </xf>
    <xf numFmtId="0" fontId="9" fillId="4" borderId="0" xfId="0" applyFont="1" applyFill="1" applyProtection="1">
      <protection hidden="1"/>
    </xf>
    <xf numFmtId="0" fontId="11" fillId="4" borderId="0" xfId="0" applyFont="1" applyFill="1" applyProtection="1">
      <protection hidden="1"/>
    </xf>
    <xf numFmtId="0" fontId="8" fillId="4" borderId="0" xfId="0" applyFont="1" applyFill="1" applyAlignment="1" applyProtection="1">
      <alignment horizontal="right"/>
      <protection hidden="1"/>
    </xf>
    <xf numFmtId="0" fontId="3" fillId="3" borderId="6" xfId="0" applyFont="1" applyFill="1" applyBorder="1" applyProtection="1">
      <protection locked="0"/>
    </xf>
    <xf numFmtId="0" fontId="16" fillId="5" borderId="9" xfId="0" applyFont="1" applyFill="1" applyBorder="1" applyAlignment="1" applyProtection="1">
      <alignment horizontal="center" vertical="center"/>
      <protection locked="0"/>
    </xf>
    <xf numFmtId="0" fontId="16" fillId="5" borderId="34" xfId="0" applyFont="1" applyFill="1" applyBorder="1" applyAlignment="1" applyProtection="1">
      <alignment horizontal="center" vertical="center"/>
      <protection locked="0"/>
    </xf>
    <xf numFmtId="0" fontId="16" fillId="5" borderId="28" xfId="0" applyFont="1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vertical="top" wrapText="1"/>
      <protection hidden="1"/>
    </xf>
    <xf numFmtId="0" fontId="0" fillId="0" borderId="0" xfId="0" applyAlignment="1">
      <alignment vertical="top" wrapText="1"/>
    </xf>
    <xf numFmtId="0" fontId="13" fillId="3" borderId="0" xfId="0" applyFont="1" applyFill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3" fillId="3" borderId="6" xfId="0" applyFont="1" applyFill="1" applyBorder="1" applyProtection="1">
      <protection hidden="1"/>
    </xf>
    <xf numFmtId="0" fontId="3" fillId="3" borderId="0" xfId="0" applyFont="1" applyFill="1" applyAlignment="1" applyProtection="1">
      <alignment vertical="top" wrapText="1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0" fillId="3" borderId="34" xfId="0" applyFill="1" applyBorder="1" applyAlignment="1" applyProtection="1">
      <alignment vertical="center"/>
      <protection locked="0"/>
    </xf>
    <xf numFmtId="0" fontId="0" fillId="3" borderId="28" xfId="0" applyFill="1" applyBorder="1" applyAlignment="1" applyProtection="1">
      <alignment vertical="center"/>
      <protection locked="0"/>
    </xf>
    <xf numFmtId="0" fontId="6" fillId="3" borderId="9" xfId="0" applyFont="1" applyFill="1" applyBorder="1" applyAlignment="1" applyProtection="1">
      <alignment vertical="center"/>
      <protection locked="0"/>
    </xf>
    <xf numFmtId="0" fontId="6" fillId="3" borderId="34" xfId="0" applyFont="1" applyFill="1" applyBorder="1" applyAlignment="1" applyProtection="1">
      <alignment vertical="center"/>
      <protection locked="0"/>
    </xf>
    <xf numFmtId="0" fontId="6" fillId="3" borderId="28" xfId="0" applyFont="1" applyFill="1" applyBorder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3" borderId="39" xfId="0" applyFill="1" applyBorder="1" applyAlignment="1" applyProtection="1">
      <alignment horizontal="center"/>
      <protection hidden="1"/>
    </xf>
    <xf numFmtId="0" fontId="0" fillId="3" borderId="0" xfId="0" applyFill="1" applyAlignment="1" applyProtection="1">
      <alignment horizontal="center"/>
      <protection hidden="1"/>
    </xf>
    <xf numFmtId="0" fontId="6" fillId="3" borderId="3" xfId="0" applyFont="1" applyFill="1" applyBorder="1" applyAlignment="1" applyProtection="1">
      <alignment vertical="center"/>
      <protection locked="0"/>
    </xf>
    <xf numFmtId="0" fontId="2" fillId="3" borderId="9" xfId="0" applyFont="1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horizontal="left" vertical="center"/>
      <protection locked="0"/>
    </xf>
    <xf numFmtId="0" fontId="0" fillId="3" borderId="34" xfId="0" applyFill="1" applyBorder="1" applyAlignment="1" applyProtection="1">
      <alignment horizontal="left" vertical="center"/>
      <protection locked="0"/>
    </xf>
    <xf numFmtId="0" fontId="0" fillId="3" borderId="28" xfId="0" applyFill="1" applyBorder="1" applyAlignment="1" applyProtection="1">
      <alignment horizontal="left" vertical="center"/>
      <protection locked="0"/>
    </xf>
    <xf numFmtId="0" fontId="13" fillId="3" borderId="9" xfId="0" applyFont="1" applyFill="1" applyBorder="1" applyAlignment="1" applyProtection="1">
      <alignment vertical="center"/>
      <protection locked="0"/>
    </xf>
    <xf numFmtId="0" fontId="0" fillId="0" borderId="34" xfId="0" applyBorder="1" applyAlignment="1">
      <alignment vertical="center"/>
    </xf>
    <xf numFmtId="0" fontId="0" fillId="0" borderId="28" xfId="0" applyBorder="1" applyAlignment="1">
      <alignment vertical="center"/>
    </xf>
    <xf numFmtId="0" fontId="13" fillId="3" borderId="34" xfId="0" applyFont="1" applyFill="1" applyBorder="1" applyAlignment="1" applyProtection="1">
      <alignment vertical="center"/>
      <protection locked="0"/>
    </xf>
    <xf numFmtId="0" fontId="13" fillId="3" borderId="28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 applyProtection="1">
      <alignment vertical="top" wrapText="1"/>
      <protection hidden="1"/>
    </xf>
    <xf numFmtId="0" fontId="3" fillId="6" borderId="3" xfId="0" applyFont="1" applyFill="1" applyBorder="1" applyProtection="1">
      <protection hidden="1"/>
    </xf>
    <xf numFmtId="0" fontId="0" fillId="5" borderId="9" xfId="0" applyFill="1" applyBorder="1" applyAlignment="1" applyProtection="1">
      <alignment vertical="center"/>
      <protection hidden="1"/>
    </xf>
    <xf numFmtId="0" fontId="0" fillId="5" borderId="34" xfId="0" applyFill="1" applyBorder="1" applyAlignment="1" applyProtection="1">
      <alignment vertical="center"/>
      <protection hidden="1"/>
    </xf>
    <xf numFmtId="0" fontId="0" fillId="5" borderId="28" xfId="0" applyFill="1" applyBorder="1" applyAlignment="1" applyProtection="1">
      <alignment vertical="center"/>
      <protection hidden="1"/>
    </xf>
    <xf numFmtId="0" fontId="2" fillId="5" borderId="9" xfId="0" applyFont="1" applyFill="1" applyBorder="1" applyAlignment="1" applyProtection="1">
      <alignment vertical="center"/>
      <protection hidden="1"/>
    </xf>
    <xf numFmtId="0" fontId="13" fillId="51" borderId="3" xfId="0" applyFont="1" applyFill="1" applyBorder="1" applyAlignment="1" applyProtection="1">
      <alignment horizontal="center" vertical="center"/>
      <protection hidden="1"/>
    </xf>
    <xf numFmtId="0" fontId="3" fillId="51" borderId="11" xfId="0" applyFont="1" applyFill="1" applyBorder="1" applyAlignment="1" applyProtection="1">
      <alignment horizontal="center" vertical="center" wrapText="1"/>
      <protection hidden="1"/>
    </xf>
    <xf numFmtId="0" fontId="3" fillId="3" borderId="9" xfId="0" applyFont="1" applyFill="1" applyBorder="1" applyAlignment="1" applyProtection="1">
      <alignment horizontal="center" vertical="center"/>
      <protection hidden="1"/>
    </xf>
    <xf numFmtId="0" fontId="3" fillId="3" borderId="28" xfId="0" applyFont="1" applyFill="1" applyBorder="1" applyAlignment="1" applyProtection="1">
      <alignment horizontal="center" vertical="center"/>
      <protection hidden="1"/>
    </xf>
    <xf numFmtId="0" fontId="8" fillId="3" borderId="35" xfId="0" applyFont="1" applyFill="1" applyBorder="1" applyAlignment="1" applyProtection="1">
      <alignment horizontal="center" textRotation="90" wrapText="1"/>
      <protection hidden="1"/>
    </xf>
    <xf numFmtId="0" fontId="8" fillId="3" borderId="37" xfId="0" applyFont="1" applyFill="1" applyBorder="1" applyAlignment="1" applyProtection="1">
      <alignment horizontal="center" textRotation="90" wrapText="1"/>
      <protection hidden="1"/>
    </xf>
    <xf numFmtId="0" fontId="8" fillId="3" borderId="39" xfId="0" applyFont="1" applyFill="1" applyBorder="1" applyAlignment="1" applyProtection="1">
      <alignment horizontal="center" textRotation="90" wrapText="1"/>
      <protection hidden="1"/>
    </xf>
    <xf numFmtId="0" fontId="8" fillId="3" borderId="12" xfId="0" applyFont="1" applyFill="1" applyBorder="1" applyAlignment="1" applyProtection="1">
      <alignment horizontal="center" textRotation="90" wrapText="1"/>
      <protection hidden="1"/>
    </xf>
    <xf numFmtId="0" fontId="8" fillId="3" borderId="38" xfId="0" applyFont="1" applyFill="1" applyBorder="1" applyAlignment="1" applyProtection="1">
      <alignment horizontal="center" textRotation="90" wrapText="1"/>
      <protection hidden="1"/>
    </xf>
    <xf numFmtId="0" fontId="8" fillId="3" borderId="1" xfId="0" applyFont="1" applyFill="1" applyBorder="1" applyAlignment="1" applyProtection="1">
      <alignment horizontal="center" textRotation="90" wrapText="1"/>
      <protection hidden="1"/>
    </xf>
    <xf numFmtId="0" fontId="13" fillId="3" borderId="3" xfId="0" applyFont="1" applyFill="1" applyBorder="1" applyAlignment="1" applyProtection="1">
      <alignment horizontal="center" vertical="center"/>
      <protection hidden="1"/>
    </xf>
    <xf numFmtId="0" fontId="3" fillId="3" borderId="11" xfId="0" applyFont="1" applyFill="1" applyBorder="1" applyAlignment="1" applyProtection="1">
      <alignment horizontal="center" vertical="center" wrapText="1"/>
      <protection hidden="1"/>
    </xf>
    <xf numFmtId="0" fontId="3" fillId="51" borderId="9" xfId="0" applyFont="1" applyFill="1" applyBorder="1" applyAlignment="1" applyProtection="1">
      <alignment horizontal="center" vertical="center"/>
      <protection hidden="1"/>
    </xf>
    <xf numFmtId="0" fontId="3" fillId="51" borderId="28" xfId="0" applyFont="1" applyFill="1" applyBorder="1" applyAlignment="1" applyProtection="1">
      <alignment horizontal="center" vertical="center"/>
      <protection hidden="1"/>
    </xf>
    <xf numFmtId="0" fontId="8" fillId="51" borderId="35" xfId="0" applyFont="1" applyFill="1" applyBorder="1" applyAlignment="1" applyProtection="1">
      <alignment horizontal="center" textRotation="90" wrapText="1"/>
      <protection hidden="1"/>
    </xf>
    <xf numFmtId="0" fontId="8" fillId="51" borderId="37" xfId="0" applyFont="1" applyFill="1" applyBorder="1" applyAlignment="1" applyProtection="1">
      <alignment horizontal="center" textRotation="90" wrapText="1"/>
      <protection hidden="1"/>
    </xf>
    <xf numFmtId="0" fontId="8" fillId="51" borderId="39" xfId="0" applyFont="1" applyFill="1" applyBorder="1" applyAlignment="1" applyProtection="1">
      <alignment horizontal="center" textRotation="90" wrapText="1"/>
      <protection hidden="1"/>
    </xf>
    <xf numFmtId="0" fontId="8" fillId="51" borderId="12" xfId="0" applyFont="1" applyFill="1" applyBorder="1" applyAlignment="1" applyProtection="1">
      <alignment horizontal="center" textRotation="90" wrapText="1"/>
      <protection hidden="1"/>
    </xf>
    <xf numFmtId="0" fontId="8" fillId="51" borderId="38" xfId="0" applyFont="1" applyFill="1" applyBorder="1" applyAlignment="1" applyProtection="1">
      <alignment horizontal="center" textRotation="90" wrapText="1"/>
      <protection hidden="1"/>
    </xf>
    <xf numFmtId="0" fontId="8" fillId="51" borderId="1" xfId="0" applyFont="1" applyFill="1" applyBorder="1" applyAlignment="1" applyProtection="1">
      <alignment horizontal="center" textRotation="90" wrapText="1"/>
      <protection hidden="1"/>
    </xf>
    <xf numFmtId="0" fontId="8" fillId="5" borderId="35" xfId="173" applyFont="1" applyFill="1" applyBorder="1" applyAlignment="1" applyProtection="1">
      <alignment horizontal="center" textRotation="90" wrapText="1"/>
      <protection hidden="1"/>
    </xf>
    <xf numFmtId="0" fontId="8" fillId="5" borderId="39" xfId="173" applyFont="1" applyFill="1" applyBorder="1" applyAlignment="1" applyProtection="1">
      <alignment horizontal="center" textRotation="90" wrapText="1"/>
      <protection hidden="1"/>
    </xf>
    <xf numFmtId="0" fontId="8" fillId="5" borderId="38" xfId="173" applyFont="1" applyFill="1" applyBorder="1" applyAlignment="1" applyProtection="1">
      <alignment horizontal="center" textRotation="90" wrapText="1"/>
      <protection hidden="1"/>
    </xf>
    <xf numFmtId="167" fontId="9" fillId="3" borderId="9" xfId="0" applyNumberFormat="1" applyFont="1" applyFill="1" applyBorder="1" applyAlignment="1">
      <alignment horizontal="center" vertical="center"/>
    </xf>
    <xf numFmtId="167" fontId="9" fillId="3" borderId="34" xfId="0" applyNumberFormat="1" applyFont="1" applyFill="1" applyBorder="1" applyAlignment="1">
      <alignment horizontal="center" vertical="center"/>
    </xf>
    <xf numFmtId="16" fontId="0" fillId="3" borderId="9" xfId="0" applyNumberFormat="1" applyFill="1" applyBorder="1" applyAlignment="1" applyProtection="1">
      <alignment horizontal="center" vertical="center"/>
      <protection locked="0"/>
    </xf>
    <xf numFmtId="16" fontId="0" fillId="3" borderId="28" xfId="0" applyNumberFormat="1" applyFill="1" applyBorder="1" applyAlignment="1" applyProtection="1">
      <alignment horizontal="center" vertical="center"/>
      <protection locked="0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/>
    </xf>
    <xf numFmtId="167" fontId="9" fillId="3" borderId="0" xfId="0" applyNumberFormat="1" applyFont="1" applyFill="1" applyAlignment="1">
      <alignment horizontal="center" vertical="center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28" xfId="0" applyFill="1" applyBorder="1" applyAlignment="1" applyProtection="1">
      <alignment horizontal="center" vertical="center"/>
      <protection locked="0"/>
    </xf>
    <xf numFmtId="0" fontId="13" fillId="48" borderId="3" xfId="0" applyFont="1" applyFill="1" applyBorder="1" applyAlignment="1" applyProtection="1">
      <alignment horizontal="center" vertical="center"/>
      <protection hidden="1"/>
    </xf>
    <xf numFmtId="0" fontId="13" fillId="49" borderId="3" xfId="0" applyFont="1" applyFill="1" applyBorder="1" applyAlignment="1" applyProtection="1">
      <alignment horizontal="center" vertical="center"/>
      <protection hidden="1"/>
    </xf>
    <xf numFmtId="0" fontId="13" fillId="46" borderId="3" xfId="0" applyFont="1" applyFill="1" applyBorder="1" applyAlignment="1" applyProtection="1">
      <alignment horizontal="center" vertical="center"/>
      <protection hidden="1"/>
    </xf>
    <xf numFmtId="0" fontId="13" fillId="12" borderId="3" xfId="0" applyFont="1" applyFill="1" applyBorder="1" applyAlignment="1" applyProtection="1">
      <alignment horizontal="center" vertical="center"/>
      <protection hidden="1"/>
    </xf>
    <xf numFmtId="0" fontId="8" fillId="12" borderId="35" xfId="0" applyFont="1" applyFill="1" applyBorder="1" applyAlignment="1" applyProtection="1">
      <alignment horizontal="center" textRotation="90" wrapText="1"/>
      <protection hidden="1"/>
    </xf>
    <xf numFmtId="0" fontId="8" fillId="12" borderId="37" xfId="0" applyFont="1" applyFill="1" applyBorder="1" applyAlignment="1" applyProtection="1">
      <alignment horizontal="center" textRotation="90" wrapText="1"/>
      <protection hidden="1"/>
    </xf>
    <xf numFmtId="0" fontId="8" fillId="12" borderId="39" xfId="0" applyFont="1" applyFill="1" applyBorder="1" applyAlignment="1" applyProtection="1">
      <alignment horizontal="center" textRotation="90" wrapText="1"/>
      <protection hidden="1"/>
    </xf>
    <xf numFmtId="0" fontId="8" fillId="12" borderId="12" xfId="0" applyFont="1" applyFill="1" applyBorder="1" applyAlignment="1" applyProtection="1">
      <alignment horizontal="center" textRotation="90" wrapText="1"/>
      <protection hidden="1"/>
    </xf>
    <xf numFmtId="0" fontId="8" fillId="12" borderId="38" xfId="0" applyFont="1" applyFill="1" applyBorder="1" applyAlignment="1" applyProtection="1">
      <alignment horizontal="center" textRotation="90" wrapText="1"/>
      <protection hidden="1"/>
    </xf>
    <xf numFmtId="0" fontId="8" fillId="12" borderId="1" xfId="0" applyFont="1" applyFill="1" applyBorder="1" applyAlignment="1" applyProtection="1">
      <alignment horizontal="center" textRotation="90" wrapText="1"/>
      <protection hidden="1"/>
    </xf>
    <xf numFmtId="0" fontId="3" fillId="48" borderId="40" xfId="0" applyFont="1" applyFill="1" applyBorder="1" applyAlignment="1" applyProtection="1">
      <alignment horizontal="center" vertical="center"/>
      <protection hidden="1"/>
    </xf>
    <xf numFmtId="0" fontId="3" fillId="48" borderId="32" xfId="0" applyFont="1" applyFill="1" applyBorder="1" applyAlignment="1" applyProtection="1">
      <alignment horizontal="center" vertical="center"/>
      <protection hidden="1"/>
    </xf>
    <xf numFmtId="0" fontId="3" fillId="46" borderId="11" xfId="0" applyFont="1" applyFill="1" applyBorder="1" applyAlignment="1" applyProtection="1">
      <alignment horizontal="center" vertical="center" wrapText="1"/>
      <protection hidden="1"/>
    </xf>
    <xf numFmtId="0" fontId="3" fillId="49" borderId="40" xfId="0" applyFont="1" applyFill="1" applyBorder="1" applyAlignment="1" applyProtection="1">
      <alignment horizontal="center" vertical="center"/>
      <protection hidden="1"/>
    </xf>
    <xf numFmtId="0" fontId="3" fillId="49" borderId="32" xfId="0" applyFont="1" applyFill="1" applyBorder="1" applyAlignment="1" applyProtection="1">
      <alignment horizontal="center" vertical="center"/>
      <protection hidden="1"/>
    </xf>
    <xf numFmtId="0" fontId="3" fillId="51" borderId="40" xfId="0" applyFont="1" applyFill="1" applyBorder="1" applyAlignment="1" applyProtection="1">
      <alignment horizontal="center" vertical="center"/>
      <protection hidden="1"/>
    </xf>
    <xf numFmtId="0" fontId="3" fillId="51" borderId="32" xfId="0" applyFont="1" applyFill="1" applyBorder="1" applyAlignment="1" applyProtection="1">
      <alignment horizontal="center" vertical="center"/>
      <protection hidden="1"/>
    </xf>
    <xf numFmtId="0" fontId="3" fillId="12" borderId="40" xfId="0" applyFont="1" applyFill="1" applyBorder="1" applyAlignment="1" applyProtection="1">
      <alignment horizontal="center" vertical="center"/>
      <protection hidden="1"/>
    </xf>
    <xf numFmtId="0" fontId="3" fillId="12" borderId="32" xfId="0" applyFont="1" applyFill="1" applyBorder="1" applyAlignment="1" applyProtection="1">
      <alignment horizontal="center" vertical="center"/>
      <protection hidden="1"/>
    </xf>
    <xf numFmtId="0" fontId="3" fillId="3" borderId="11" xfId="0" applyFont="1" applyFill="1" applyBorder="1" applyAlignment="1" applyProtection="1">
      <alignment horizontal="center" vertical="center"/>
      <protection hidden="1"/>
    </xf>
    <xf numFmtId="0" fontId="3" fillId="12" borderId="11" xfId="0" applyFont="1" applyFill="1" applyBorder="1" applyAlignment="1" applyProtection="1">
      <alignment horizontal="center" vertical="center"/>
      <protection hidden="1"/>
    </xf>
    <xf numFmtId="0" fontId="3" fillId="5" borderId="11" xfId="0" applyFont="1" applyFill="1" applyBorder="1" applyAlignment="1" applyProtection="1">
      <alignment horizontal="center" vertical="center"/>
      <protection hidden="1"/>
    </xf>
    <xf numFmtId="0" fontId="13" fillId="5" borderId="3" xfId="0" applyFont="1" applyFill="1" applyBorder="1" applyAlignment="1" applyProtection="1">
      <alignment horizontal="center" vertical="center"/>
      <protection hidden="1"/>
    </xf>
    <xf numFmtId="0" fontId="13" fillId="0" borderId="3" xfId="0" applyFont="1" applyBorder="1" applyAlignment="1" applyProtection="1">
      <alignment horizontal="center" vertical="center"/>
      <protection hidden="1"/>
    </xf>
    <xf numFmtId="0" fontId="13" fillId="5" borderId="9" xfId="0" applyFont="1" applyFill="1" applyBorder="1" applyAlignment="1" applyProtection="1">
      <alignment horizontal="center" vertical="center"/>
      <protection hidden="1"/>
    </xf>
    <xf numFmtId="0" fontId="13" fillId="5" borderId="28" xfId="0" applyFont="1" applyFill="1" applyBorder="1" applyAlignment="1" applyProtection="1">
      <alignment horizontal="center" vertical="center"/>
      <protection hidden="1"/>
    </xf>
    <xf numFmtId="0" fontId="3" fillId="0" borderId="11" xfId="0" applyFont="1" applyBorder="1" applyAlignment="1" applyProtection="1">
      <alignment horizontal="center" vertical="center"/>
      <protection hidden="1"/>
    </xf>
    <xf numFmtId="0" fontId="3" fillId="3" borderId="6" xfId="0" applyFont="1" applyFill="1" applyBorder="1" applyAlignment="1">
      <alignment horizontal="center"/>
    </xf>
    <xf numFmtId="0" fontId="0" fillId="0" borderId="6" xfId="0" applyBorder="1"/>
    <xf numFmtId="0" fontId="9" fillId="13" borderId="10" xfId="0" applyFont="1" applyFill="1" applyBorder="1" applyAlignment="1" applyProtection="1">
      <alignment horizontal="center" vertical="center"/>
      <protection locked="0"/>
    </xf>
    <xf numFmtId="0" fontId="9" fillId="7" borderId="10" xfId="0" applyFont="1" applyFill="1" applyBorder="1" applyAlignment="1" applyProtection="1">
      <alignment horizontal="center" vertical="center"/>
      <protection hidden="1"/>
    </xf>
    <xf numFmtId="0" fontId="14" fillId="3" borderId="9" xfId="0" applyFont="1" applyFill="1" applyBorder="1" applyAlignment="1" applyProtection="1">
      <alignment horizontal="center" vertical="center"/>
      <protection locked="0"/>
    </xf>
    <xf numFmtId="0" fontId="14" fillId="0" borderId="34" xfId="0" applyFont="1" applyBorder="1" applyAlignment="1" applyProtection="1">
      <alignment horizontal="center" vertical="center"/>
      <protection locked="0"/>
    </xf>
    <xf numFmtId="0" fontId="14" fillId="0" borderId="28" xfId="0" applyFont="1" applyBorder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/>
    </xf>
    <xf numFmtId="0" fontId="6" fillId="13" borderId="35" xfId="0" applyFont="1" applyFill="1" applyBorder="1" applyAlignment="1">
      <alignment horizontal="center" vertical="center"/>
    </xf>
    <xf numFmtId="0" fontId="6" fillId="13" borderId="36" xfId="0" applyFont="1" applyFill="1" applyBorder="1" applyAlignment="1">
      <alignment horizontal="center" vertical="center"/>
    </xf>
    <xf numFmtId="0" fontId="14" fillId="3" borderId="3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6" fillId="7" borderId="35" xfId="0" applyFont="1" applyFill="1" applyBorder="1" applyAlignment="1">
      <alignment horizontal="center" vertical="center"/>
    </xf>
    <xf numFmtId="0" fontId="6" fillId="7" borderId="36" xfId="0" applyFont="1" applyFill="1" applyBorder="1" applyAlignment="1">
      <alignment horizontal="center" vertical="center"/>
    </xf>
    <xf numFmtId="0" fontId="5" fillId="11" borderId="35" xfId="0" applyFont="1" applyFill="1" applyBorder="1" applyAlignment="1">
      <alignment horizontal="center" vertical="center"/>
    </xf>
    <xf numFmtId="0" fontId="5" fillId="11" borderId="36" xfId="0" applyFont="1" applyFill="1" applyBorder="1" applyAlignment="1">
      <alignment horizontal="center" vertical="center"/>
    </xf>
    <xf numFmtId="0" fontId="6" fillId="13" borderId="39" xfId="0" applyFont="1" applyFill="1" applyBorder="1" applyAlignment="1">
      <alignment horizontal="center" vertical="center" wrapText="1"/>
    </xf>
    <xf numFmtId="0" fontId="6" fillId="13" borderId="0" xfId="0" applyFont="1" applyFill="1" applyAlignment="1">
      <alignment horizontal="center" vertical="center"/>
    </xf>
    <xf numFmtId="0" fontId="6" fillId="7" borderId="39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3" fillId="5" borderId="9" xfId="0" applyFont="1" applyFill="1" applyBorder="1" applyAlignment="1" applyProtection="1">
      <alignment horizontal="center" vertical="center"/>
      <protection hidden="1"/>
    </xf>
    <xf numFmtId="0" fontId="3" fillId="5" borderId="28" xfId="0" applyFont="1" applyFill="1" applyBorder="1" applyAlignment="1" applyProtection="1">
      <alignment horizontal="center" vertical="center"/>
      <protection hidden="1"/>
    </xf>
    <xf numFmtId="0" fontId="3" fillId="48" borderId="9" xfId="0" applyFont="1" applyFill="1" applyBorder="1" applyAlignment="1" applyProtection="1">
      <alignment horizontal="center" vertical="center"/>
      <protection hidden="1"/>
    </xf>
    <xf numFmtId="0" fontId="3" fillId="48" borderId="28" xfId="0" applyFont="1" applyFill="1" applyBorder="1" applyAlignment="1" applyProtection="1">
      <alignment horizontal="center" vertical="center"/>
      <protection hidden="1"/>
    </xf>
    <xf numFmtId="0" fontId="8" fillId="5" borderId="35" xfId="0" applyFont="1" applyFill="1" applyBorder="1" applyAlignment="1" applyProtection="1">
      <alignment horizontal="center" textRotation="90" wrapText="1"/>
      <protection hidden="1"/>
    </xf>
    <xf numFmtId="0" fontId="8" fillId="5" borderId="37" xfId="0" applyFont="1" applyFill="1" applyBorder="1" applyAlignment="1" applyProtection="1">
      <alignment horizontal="center" textRotation="90" wrapText="1"/>
      <protection hidden="1"/>
    </xf>
    <xf numFmtId="0" fontId="8" fillId="5" borderId="39" xfId="0" applyFont="1" applyFill="1" applyBorder="1" applyAlignment="1" applyProtection="1">
      <alignment horizontal="center" textRotation="90" wrapText="1"/>
      <protection hidden="1"/>
    </xf>
    <xf numFmtId="0" fontId="8" fillId="5" borderId="12" xfId="0" applyFont="1" applyFill="1" applyBorder="1" applyAlignment="1" applyProtection="1">
      <alignment horizontal="center" textRotation="90" wrapText="1"/>
      <protection hidden="1"/>
    </xf>
    <xf numFmtId="0" fontId="8" fillId="5" borderId="38" xfId="0" applyFont="1" applyFill="1" applyBorder="1" applyAlignment="1" applyProtection="1">
      <alignment horizontal="center" textRotation="90" wrapText="1"/>
      <protection hidden="1"/>
    </xf>
    <xf numFmtId="0" fontId="8" fillId="5" borderId="1" xfId="0" applyFont="1" applyFill="1" applyBorder="1" applyAlignment="1" applyProtection="1">
      <alignment horizontal="center" textRotation="90" wrapText="1"/>
      <protection hidden="1"/>
    </xf>
    <xf numFmtId="0" fontId="5" fillId="14" borderId="9" xfId="0" applyFont="1" applyFill="1" applyBorder="1" applyAlignment="1">
      <alignment horizontal="center" vertical="center"/>
    </xf>
    <xf numFmtId="0" fontId="5" fillId="14" borderId="34" xfId="0" applyFont="1" applyFill="1" applyBorder="1" applyAlignment="1">
      <alignment horizontal="center" vertical="center"/>
    </xf>
    <xf numFmtId="0" fontId="5" fillId="14" borderId="28" xfId="0" applyFont="1" applyFill="1" applyBorder="1" applyAlignment="1">
      <alignment horizontal="center" vertical="center"/>
    </xf>
    <xf numFmtId="49" fontId="6" fillId="10" borderId="35" xfId="0" applyNumberFormat="1" applyFont="1" applyFill="1" applyBorder="1" applyAlignment="1">
      <alignment horizontal="center" vertical="center" shrinkToFit="1"/>
    </xf>
    <xf numFmtId="49" fontId="6" fillId="10" borderId="36" xfId="0" applyNumberFormat="1" applyFont="1" applyFill="1" applyBorder="1" applyAlignment="1">
      <alignment horizontal="center" vertical="center" shrinkToFit="1"/>
    </xf>
    <xf numFmtId="49" fontId="6" fillId="10" borderId="37" xfId="0" applyNumberFormat="1" applyFont="1" applyFill="1" applyBorder="1" applyAlignment="1">
      <alignment horizontal="center" vertical="center" shrinkToFit="1"/>
    </xf>
    <xf numFmtId="0" fontId="0" fillId="10" borderId="38" xfId="0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6" fillId="10" borderId="35" xfId="0" applyFont="1" applyFill="1" applyBorder="1" applyAlignment="1">
      <alignment horizontal="center" vertical="center" shrinkToFit="1"/>
    </xf>
    <xf numFmtId="0" fontId="6" fillId="10" borderId="36" xfId="0" applyFont="1" applyFill="1" applyBorder="1" applyAlignment="1">
      <alignment horizontal="center" vertical="center" shrinkToFit="1"/>
    </xf>
    <xf numFmtId="0" fontId="6" fillId="10" borderId="37" xfId="0" applyFont="1" applyFill="1" applyBorder="1" applyAlignment="1">
      <alignment horizontal="center" vertical="center" shrinkToFit="1"/>
    </xf>
    <xf numFmtId="0" fontId="0" fillId="10" borderId="38" xfId="0" applyFill="1" applyBorder="1" applyAlignment="1" applyProtection="1">
      <alignment horizontal="center" vertical="center"/>
      <protection locked="0"/>
    </xf>
    <xf numFmtId="0" fontId="0" fillId="10" borderId="6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6" fillId="4" borderId="39" xfId="0" applyFont="1" applyFill="1" applyBorder="1" applyAlignment="1">
      <alignment horizontal="center" vertical="center" shrinkToFit="1"/>
    </xf>
    <xf numFmtId="0" fontId="6" fillId="4" borderId="0" xfId="0" applyFont="1" applyFill="1" applyAlignment="1">
      <alignment horizontal="center" vertical="center" shrinkToFit="1"/>
    </xf>
    <xf numFmtId="0" fontId="0" fillId="4" borderId="38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38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8" fillId="48" borderId="35" xfId="0" applyFont="1" applyFill="1" applyBorder="1" applyAlignment="1" applyProtection="1">
      <alignment horizontal="center" textRotation="90" wrapText="1"/>
      <protection hidden="1"/>
    </xf>
    <xf numFmtId="0" fontId="8" fillId="48" borderId="37" xfId="0" applyFont="1" applyFill="1" applyBorder="1" applyAlignment="1" applyProtection="1">
      <alignment horizontal="center" textRotation="90" wrapText="1"/>
      <protection hidden="1"/>
    </xf>
    <xf numFmtId="0" fontId="8" fillId="48" borderId="39" xfId="0" applyFont="1" applyFill="1" applyBorder="1" applyAlignment="1" applyProtection="1">
      <alignment horizontal="center" textRotation="90" wrapText="1"/>
      <protection hidden="1"/>
    </xf>
    <xf numFmtId="0" fontId="8" fillId="48" borderId="12" xfId="0" applyFont="1" applyFill="1" applyBorder="1" applyAlignment="1" applyProtection="1">
      <alignment horizontal="center" textRotation="90" wrapText="1"/>
      <protection hidden="1"/>
    </xf>
    <xf numFmtId="0" fontId="8" fillId="48" borderId="38" xfId="0" applyFont="1" applyFill="1" applyBorder="1" applyAlignment="1" applyProtection="1">
      <alignment horizontal="center" textRotation="90" wrapText="1"/>
      <protection hidden="1"/>
    </xf>
    <xf numFmtId="0" fontId="8" fillId="48" borderId="1" xfId="0" applyFont="1" applyFill="1" applyBorder="1" applyAlignment="1" applyProtection="1">
      <alignment horizontal="center" textRotation="90" wrapText="1"/>
      <protection hidden="1"/>
    </xf>
    <xf numFmtId="0" fontId="0" fillId="3" borderId="9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49" borderId="35" xfId="0" applyFont="1" applyFill="1" applyBorder="1" applyAlignment="1" applyProtection="1">
      <alignment horizontal="center" textRotation="90" wrapText="1"/>
      <protection hidden="1"/>
    </xf>
    <xf numFmtId="0" fontId="7" fillId="49" borderId="37" xfId="0" applyFont="1" applyFill="1" applyBorder="1" applyAlignment="1" applyProtection="1">
      <alignment horizontal="center" textRotation="90" wrapText="1"/>
      <protection hidden="1"/>
    </xf>
    <xf numFmtId="0" fontId="7" fillId="49" borderId="39" xfId="0" applyFont="1" applyFill="1" applyBorder="1" applyAlignment="1" applyProtection="1">
      <alignment horizontal="center" textRotation="90" wrapText="1"/>
      <protection hidden="1"/>
    </xf>
    <xf numFmtId="0" fontId="7" fillId="49" borderId="12" xfId="0" applyFont="1" applyFill="1" applyBorder="1" applyAlignment="1" applyProtection="1">
      <alignment horizontal="center" textRotation="90" wrapText="1"/>
      <protection hidden="1"/>
    </xf>
    <xf numFmtId="0" fontId="7" fillId="49" borderId="38" xfId="0" applyFont="1" applyFill="1" applyBorder="1" applyAlignment="1" applyProtection="1">
      <alignment horizontal="center" textRotation="90" wrapText="1"/>
      <protection hidden="1"/>
    </xf>
    <xf numFmtId="0" fontId="7" fillId="49" borderId="1" xfId="0" applyFont="1" applyFill="1" applyBorder="1" applyAlignment="1" applyProtection="1">
      <alignment horizontal="center" textRotation="90" wrapText="1"/>
      <protection hidden="1"/>
    </xf>
    <xf numFmtId="0" fontId="14" fillId="11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46" borderId="9" xfId="0" applyFill="1" applyBorder="1" applyAlignment="1">
      <alignment horizontal="center" vertical="center"/>
    </xf>
    <xf numFmtId="0" fontId="0" fillId="46" borderId="28" xfId="0" applyFill="1" applyBorder="1" applyAlignment="1">
      <alignment horizontal="center" vertical="center"/>
    </xf>
    <xf numFmtId="16" fontId="3" fillId="3" borderId="9" xfId="0" applyNumberFormat="1" applyFont="1" applyFill="1" applyBorder="1" applyAlignment="1">
      <alignment horizontal="center" vertical="center"/>
    </xf>
    <xf numFmtId="16" fontId="3" fillId="3" borderId="28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2" fillId="47" borderId="9" xfId="0" applyFont="1" applyFill="1" applyBorder="1" applyAlignment="1">
      <alignment horizontal="center" vertical="center"/>
    </xf>
    <xf numFmtId="0" fontId="2" fillId="47" borderId="28" xfId="0" applyFont="1" applyFill="1" applyBorder="1" applyAlignment="1">
      <alignment horizontal="center" vertical="center"/>
    </xf>
    <xf numFmtId="0" fontId="3" fillId="46" borderId="9" xfId="0" applyFont="1" applyFill="1" applyBorder="1" applyAlignment="1" applyProtection="1">
      <alignment horizontal="center" vertical="center"/>
      <protection hidden="1"/>
    </xf>
    <xf numFmtId="0" fontId="3" fillId="46" borderId="28" xfId="0" applyFont="1" applyFill="1" applyBorder="1" applyAlignment="1" applyProtection="1">
      <alignment horizontal="center" vertical="center"/>
      <protection hidden="1"/>
    </xf>
    <xf numFmtId="0" fontId="14" fillId="3" borderId="35" xfId="0" applyFont="1" applyFill="1" applyBorder="1" applyAlignment="1">
      <alignment horizontal="center" vertical="center" wrapText="1"/>
    </xf>
    <xf numFmtId="0" fontId="14" fillId="3" borderId="36" xfId="0" applyFont="1" applyFill="1" applyBorder="1" applyAlignment="1">
      <alignment horizontal="center" vertical="center" wrapText="1"/>
    </xf>
    <xf numFmtId="0" fontId="14" fillId="3" borderId="38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8" fillId="46" borderId="35" xfId="0" applyFont="1" applyFill="1" applyBorder="1" applyAlignment="1" applyProtection="1">
      <alignment horizontal="center" textRotation="90" wrapText="1"/>
      <protection hidden="1"/>
    </xf>
    <xf numFmtId="0" fontId="8" fillId="46" borderId="37" xfId="0" applyFont="1" applyFill="1" applyBorder="1" applyAlignment="1" applyProtection="1">
      <alignment horizontal="center" textRotation="90" wrapText="1"/>
      <protection hidden="1"/>
    </xf>
    <xf numFmtId="0" fontId="8" fillId="46" borderId="39" xfId="0" applyFont="1" applyFill="1" applyBorder="1" applyAlignment="1" applyProtection="1">
      <alignment horizontal="center" textRotation="90" wrapText="1"/>
      <protection hidden="1"/>
    </xf>
    <xf numFmtId="0" fontId="8" fillId="46" borderId="12" xfId="0" applyFont="1" applyFill="1" applyBorder="1" applyAlignment="1" applyProtection="1">
      <alignment horizontal="center" textRotation="90" wrapText="1"/>
      <protection hidden="1"/>
    </xf>
    <xf numFmtId="0" fontId="8" fillId="46" borderId="38" xfId="0" applyFont="1" applyFill="1" applyBorder="1" applyAlignment="1" applyProtection="1">
      <alignment horizontal="center" textRotation="90" wrapText="1"/>
      <protection hidden="1"/>
    </xf>
    <xf numFmtId="0" fontId="8" fillId="46" borderId="1" xfId="0" applyFont="1" applyFill="1" applyBorder="1" applyAlignment="1" applyProtection="1">
      <alignment horizontal="center" textRotation="90" wrapText="1"/>
      <protection hidden="1"/>
    </xf>
    <xf numFmtId="0" fontId="0" fillId="3" borderId="35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9" xfId="0" applyFill="1" applyBorder="1" applyAlignment="1" applyProtection="1">
      <alignment horizontal="center" vertical="center" wrapText="1"/>
      <protection locked="0"/>
    </xf>
    <xf numFmtId="0" fontId="0" fillId="3" borderId="28" xfId="0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>
      <alignment horizontal="center" vertical="center" shrinkToFit="1"/>
    </xf>
    <xf numFmtId="17" fontId="0" fillId="3" borderId="9" xfId="0" applyNumberFormat="1" applyFill="1" applyBorder="1" applyAlignment="1" applyProtection="1">
      <alignment horizontal="center" vertical="center" wrapText="1"/>
      <protection locked="0"/>
    </xf>
    <xf numFmtId="0" fontId="0" fillId="3" borderId="34" xfId="0" applyFill="1" applyBorder="1" applyAlignment="1">
      <alignment horizontal="center" vertical="center"/>
    </xf>
    <xf numFmtId="16" fontId="0" fillId="3" borderId="9" xfId="0" applyNumberFormat="1" applyFill="1" applyBorder="1" applyAlignment="1" applyProtection="1">
      <alignment horizontal="center" vertical="center" wrapText="1"/>
      <protection locked="0"/>
    </xf>
    <xf numFmtId="16" fontId="0" fillId="3" borderId="28" xfId="0" applyNumberFormat="1" applyFill="1" applyBorder="1" applyAlignment="1" applyProtection="1">
      <alignment horizontal="center" vertical="center" wrapText="1"/>
      <protection locked="0"/>
    </xf>
    <xf numFmtId="0" fontId="14" fillId="11" borderId="35" xfId="0" applyFont="1" applyFill="1" applyBorder="1" applyAlignment="1">
      <alignment horizontal="center" vertical="center" wrapText="1"/>
    </xf>
    <xf numFmtId="0" fontId="14" fillId="11" borderId="36" xfId="0" applyFont="1" applyFill="1" applyBorder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4" fillId="11" borderId="38" xfId="0" applyFont="1" applyFill="1" applyBorder="1" applyAlignment="1">
      <alignment horizontal="center" vertical="center" wrapText="1"/>
    </xf>
    <xf numFmtId="0" fontId="14" fillId="11" borderId="6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shrinkToFit="1"/>
    </xf>
    <xf numFmtId="16" fontId="13" fillId="3" borderId="9" xfId="0" applyNumberFormat="1" applyFont="1" applyFill="1" applyBorder="1" applyAlignment="1" applyProtection="1">
      <alignment horizontal="center" vertical="center" wrapText="1"/>
      <protection locked="0"/>
    </xf>
    <xf numFmtId="16" fontId="13" fillId="3" borderId="28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0" borderId="28" xfId="0" applyBorder="1"/>
    <xf numFmtId="0" fontId="14" fillId="3" borderId="37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67" fontId="9" fillId="3" borderId="38" xfId="0" applyNumberFormat="1" applyFont="1" applyFill="1" applyBorder="1" applyAlignment="1">
      <alignment horizontal="center" vertical="center"/>
    </xf>
    <xf numFmtId="167" fontId="9" fillId="3" borderId="6" xfId="0" applyNumberFormat="1" applyFont="1" applyFill="1" applyBorder="1" applyAlignment="1">
      <alignment horizontal="center" vertical="center"/>
    </xf>
    <xf numFmtId="0" fontId="22" fillId="3" borderId="17" xfId="31" applyFont="1" applyFill="1" applyBorder="1" applyAlignment="1">
      <alignment horizontal="center" vertical="center"/>
    </xf>
    <xf numFmtId="0" fontId="22" fillId="3" borderId="26" xfId="31" applyFont="1" applyFill="1" applyBorder="1" applyAlignment="1">
      <alignment horizontal="center" vertical="center"/>
    </xf>
    <xf numFmtId="168" fontId="3" fillId="0" borderId="25" xfId="0" applyNumberFormat="1" applyFont="1" applyBorder="1" applyAlignment="1">
      <alignment horizontal="center" vertical="center"/>
    </xf>
    <xf numFmtId="0" fontId="21" fillId="3" borderId="18" xfId="31" applyFont="1" applyFill="1" applyBorder="1" applyAlignment="1">
      <alignment horizontal="center" vertical="center" wrapText="1" shrinkToFit="1"/>
    </xf>
    <xf numFmtId="0" fontId="21" fillId="3" borderId="31" xfId="31" applyFont="1" applyFill="1" applyBorder="1" applyAlignment="1">
      <alignment horizontal="center" vertical="center" wrapText="1" shrinkToFit="1"/>
    </xf>
    <xf numFmtId="0" fontId="21" fillId="3" borderId="42" xfId="31" applyFont="1" applyFill="1" applyBorder="1" applyAlignment="1">
      <alignment horizontal="center" vertical="center" wrapText="1" shrinkToFit="1"/>
    </xf>
    <xf numFmtId="172" fontId="21" fillId="0" borderId="18" xfId="31" applyNumberFormat="1" applyFont="1" applyBorder="1" applyAlignment="1">
      <alignment horizontal="center" vertical="center" wrapText="1"/>
    </xf>
    <xf numFmtId="172" fontId="21" fillId="0" borderId="42" xfId="31" applyNumberFormat="1" applyFont="1" applyBorder="1" applyAlignment="1">
      <alignment horizontal="center" vertical="center" wrapText="1"/>
    </xf>
    <xf numFmtId="172" fontId="21" fillId="0" borderId="31" xfId="31" applyNumberFormat="1" applyFont="1" applyBorder="1" applyAlignment="1">
      <alignment horizontal="center" vertical="center" wrapText="1"/>
    </xf>
    <xf numFmtId="49" fontId="21" fillId="0" borderId="18" xfId="31" applyNumberFormat="1" applyFont="1" applyBorder="1" applyAlignment="1">
      <alignment horizontal="center" vertical="center" wrapText="1"/>
    </xf>
    <xf numFmtId="49" fontId="21" fillId="0" borderId="31" xfId="31" applyNumberFormat="1" applyFont="1" applyBorder="1" applyAlignment="1">
      <alignment horizontal="center" vertical="center" wrapText="1"/>
    </xf>
    <xf numFmtId="0" fontId="24" fillId="3" borderId="18" xfId="31" applyFont="1" applyFill="1" applyBorder="1" applyAlignment="1">
      <alignment horizontal="center" vertical="center" wrapText="1"/>
    </xf>
    <xf numFmtId="0" fontId="24" fillId="3" borderId="31" xfId="31" applyFont="1" applyFill="1" applyBorder="1" applyAlignment="1">
      <alignment horizontal="center" vertical="center" wrapText="1"/>
    </xf>
    <xf numFmtId="0" fontId="21" fillId="3" borderId="18" xfId="31" applyFont="1" applyFill="1" applyBorder="1" applyAlignment="1">
      <alignment horizontal="center" vertical="center" wrapText="1"/>
    </xf>
    <xf numFmtId="0" fontId="21" fillId="3" borderId="31" xfId="31" applyFont="1" applyFill="1" applyBorder="1" applyAlignment="1">
      <alignment horizontal="center" vertical="center" wrapText="1"/>
    </xf>
    <xf numFmtId="0" fontId="21" fillId="0" borderId="18" xfId="31" applyFont="1" applyBorder="1" applyAlignment="1">
      <alignment horizontal="center" vertical="center" wrapText="1"/>
    </xf>
    <xf numFmtId="0" fontId="21" fillId="0" borderId="31" xfId="31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4" xfId="0" quotePrefix="1" applyFont="1" applyBorder="1" applyAlignment="1">
      <alignment horizontal="left"/>
    </xf>
    <xf numFmtId="0" fontId="3" fillId="0" borderId="28" xfId="0" quotePrefix="1" applyFont="1" applyBorder="1" applyAlignment="1">
      <alignment horizontal="left"/>
    </xf>
    <xf numFmtId="172" fontId="21" fillId="0" borderId="18" xfId="31" applyNumberFormat="1" applyFont="1" applyBorder="1" applyAlignment="1">
      <alignment horizontal="center" vertical="center"/>
    </xf>
    <xf numFmtId="172" fontId="21" fillId="0" borderId="31" xfId="31" applyNumberFormat="1" applyFont="1" applyBorder="1" applyAlignment="1">
      <alignment horizontal="center" vertical="center"/>
    </xf>
    <xf numFmtId="0" fontId="24" fillId="3" borderId="42" xfId="31" applyFont="1" applyFill="1" applyBorder="1" applyAlignment="1">
      <alignment horizontal="center" vertical="center" wrapText="1"/>
    </xf>
    <xf numFmtId="0" fontId="21" fillId="0" borderId="42" xfId="31" applyFont="1" applyBorder="1" applyAlignment="1">
      <alignment horizontal="center" vertical="center" wrapText="1"/>
    </xf>
    <xf numFmtId="0" fontId="21" fillId="3" borderId="42" xfId="31" applyFont="1" applyFill="1" applyBorder="1" applyAlignment="1">
      <alignment horizontal="center" vertical="center" wrapText="1"/>
    </xf>
    <xf numFmtId="172" fontId="21" fillId="0" borderId="42" xfId="31" applyNumberFormat="1" applyFont="1" applyBorder="1" applyAlignment="1">
      <alignment horizontal="center" vertical="center"/>
    </xf>
    <xf numFmtId="49" fontId="21" fillId="0" borderId="42" xfId="31" applyNumberFormat="1" applyFont="1" applyBorder="1" applyAlignment="1">
      <alignment horizontal="center" vertical="center" wrapText="1"/>
    </xf>
    <xf numFmtId="0" fontId="21" fillId="0" borderId="18" xfId="31" applyFont="1" applyBorder="1" applyAlignment="1">
      <alignment horizontal="center" vertical="center" wrapText="1" shrinkToFit="1"/>
    </xf>
    <xf numFmtId="0" fontId="21" fillId="0" borderId="42" xfId="31" applyFont="1" applyBorder="1" applyAlignment="1">
      <alignment horizontal="center" vertical="center" wrapText="1" shrinkToFit="1"/>
    </xf>
    <xf numFmtId="0" fontId="22" fillId="3" borderId="43" xfId="31" applyFont="1" applyFill="1" applyBorder="1" applyAlignment="1">
      <alignment horizontal="center" vertical="center"/>
    </xf>
    <xf numFmtId="0" fontId="22" fillId="3" borderId="25" xfId="31" applyFont="1" applyFill="1" applyBorder="1" applyAlignment="1">
      <alignment horizontal="center" vertical="center"/>
    </xf>
    <xf numFmtId="168" fontId="3" fillId="0" borderId="17" xfId="0" applyNumberFormat="1" applyFont="1" applyBorder="1" applyAlignment="1">
      <alignment horizontal="center" vertical="center"/>
    </xf>
    <xf numFmtId="168" fontId="3" fillId="0" borderId="26" xfId="0" applyNumberFormat="1" applyFont="1" applyBorder="1" applyAlignment="1">
      <alignment horizontal="center" vertical="center"/>
    </xf>
    <xf numFmtId="0" fontId="21" fillId="3" borderId="15" xfId="31" applyFont="1" applyFill="1" applyBorder="1" applyAlignment="1">
      <alignment horizontal="center" vertical="center" wrapText="1"/>
    </xf>
    <xf numFmtId="0" fontId="21" fillId="3" borderId="25" xfId="3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20" fontId="0" fillId="0" borderId="27" xfId="0" applyNumberFormat="1" applyBorder="1" applyAlignment="1" applyProtection="1">
      <alignment horizontal="center" vertical="center"/>
      <protection locked="0" hidden="1"/>
    </xf>
    <xf numFmtId="20" fontId="0" fillId="0" borderId="53" xfId="0" applyNumberFormat="1" applyBorder="1" applyAlignment="1" applyProtection="1">
      <alignment horizontal="center" vertical="center"/>
      <protection locked="0" hidden="1"/>
    </xf>
    <xf numFmtId="20" fontId="0" fillId="0" borderId="31" xfId="0" applyNumberFormat="1" applyBorder="1" applyAlignment="1" applyProtection="1">
      <alignment horizontal="center" vertical="center"/>
      <protection hidden="1"/>
    </xf>
    <xf numFmtId="170" fontId="25" fillId="52" borderId="41" xfId="31" applyNumberFormat="1" applyFont="1" applyFill="1" applyBorder="1" applyProtection="1">
      <alignment vertical="center"/>
      <protection hidden="1"/>
    </xf>
    <xf numFmtId="0" fontId="3" fillId="0" borderId="18" xfId="0" applyFont="1" applyBorder="1" applyAlignment="1" applyProtection="1">
      <alignment horizontal="center" vertical="center"/>
      <protection hidden="1"/>
    </xf>
    <xf numFmtId="0" fontId="3" fillId="0" borderId="31" xfId="0" applyFont="1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 vertical="center"/>
      <protection hidden="1"/>
    </xf>
    <xf numFmtId="0" fontId="0" fillId="0" borderId="27" xfId="0" applyBorder="1" applyAlignment="1" applyProtection="1">
      <alignment horizontal="center" vertical="center"/>
      <protection hidden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31" xfId="0" applyBorder="1" applyAlignment="1" applyProtection="1">
      <alignment horizontal="center" vertical="center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0" fontId="0" fillId="0" borderId="58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170" fontId="25" fillId="53" borderId="41" xfId="31" applyNumberFormat="1" applyFont="1" applyFill="1" applyBorder="1" applyProtection="1">
      <alignment vertical="center"/>
      <protection hidden="1"/>
    </xf>
    <xf numFmtId="0" fontId="20" fillId="0" borderId="30" xfId="32" applyFont="1" applyBorder="1" applyAlignment="1" applyProtection="1">
      <alignment horizontal="center" vertical="center" shrinkToFit="1"/>
      <protection hidden="1"/>
    </xf>
    <xf numFmtId="0" fontId="20" fillId="0" borderId="27" xfId="32" applyFont="1" applyBorder="1" applyAlignment="1" applyProtection="1">
      <alignment horizontal="center" vertical="center" shrinkToFit="1"/>
      <protection hidden="1"/>
    </xf>
    <xf numFmtId="0" fontId="20" fillId="0" borderId="54" xfId="32" applyFont="1" applyBorder="1" applyAlignment="1" applyProtection="1">
      <alignment horizontal="center" vertical="center" shrinkToFit="1"/>
      <protection hidden="1"/>
    </xf>
    <xf numFmtId="0" fontId="20" fillId="3" borderId="16" xfId="32" applyFont="1" applyFill="1" applyBorder="1" applyAlignment="1" applyProtection="1">
      <alignment horizontal="center" vertical="center" shrinkToFit="1"/>
      <protection hidden="1"/>
    </xf>
    <xf numFmtId="0" fontId="3" fillId="0" borderId="42" xfId="0" applyFont="1" applyBorder="1" applyAlignment="1" applyProtection="1">
      <alignment horizontal="center" vertical="center"/>
      <protection hidden="1"/>
    </xf>
    <xf numFmtId="0" fontId="20" fillId="0" borderId="29" xfId="32" applyFont="1" applyBorder="1" applyAlignment="1" applyProtection="1">
      <alignment horizontal="center" vertical="center" shrinkToFit="1"/>
      <protection hidden="1"/>
    </xf>
    <xf numFmtId="0" fontId="20" fillId="0" borderId="53" xfId="32" applyFont="1" applyBorder="1" applyAlignment="1" applyProtection="1">
      <alignment horizontal="center" vertical="center" shrinkToFit="1"/>
      <protection hidden="1"/>
    </xf>
    <xf numFmtId="0" fontId="20" fillId="3" borderId="31" xfId="32" applyFont="1" applyFill="1" applyBorder="1" applyAlignment="1" applyProtection="1">
      <alignment horizontal="center" vertical="center" shrinkToFit="1"/>
      <protection hidden="1"/>
    </xf>
    <xf numFmtId="0" fontId="20" fillId="3" borderId="29" xfId="32" applyFont="1" applyFill="1" applyBorder="1" applyAlignment="1" applyProtection="1">
      <alignment horizontal="center" vertical="center" shrinkToFit="1"/>
      <protection hidden="1"/>
    </xf>
    <xf numFmtId="0" fontId="20" fillId="3" borderId="27" xfId="32" applyFont="1" applyFill="1" applyBorder="1" applyAlignment="1" applyProtection="1">
      <alignment horizontal="center" vertical="center" shrinkToFit="1"/>
      <protection hidden="1"/>
    </xf>
    <xf numFmtId="0" fontId="20" fillId="3" borderId="53" xfId="32" applyFont="1" applyFill="1" applyBorder="1" applyAlignment="1" applyProtection="1">
      <alignment horizontal="center" vertical="center" shrinkToFit="1"/>
      <protection hidden="1"/>
    </xf>
    <xf numFmtId="0" fontId="0" fillId="0" borderId="0" xfId="0" applyAlignment="1" applyProtection="1">
      <alignment horizontal="center"/>
      <protection hidden="1"/>
    </xf>
  </cellXfs>
  <cellStyles count="17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3 2" xfId="162" xr:uid="{00000000-0005-0000-0000-000003000000}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alcolo 2" xfId="164" xr:uid="{00000000-0005-0000-0000-000014000000}"/>
    <cellStyle name="Cella collegata" xfId="20" builtinId="24" customBuiltin="1"/>
    <cellStyle name="Cella da controllare" xfId="21" builtinId="23" customBuiltin="1"/>
    <cellStyle name="Collegamento ipertestuale" xfId="112" builtinId="8" hidden="1"/>
    <cellStyle name="Collegamento ipertestuale" xfId="126" builtinId="8" hidden="1"/>
    <cellStyle name="Collegamento ipertestuale" xfId="72" builtinId="8" hidden="1"/>
    <cellStyle name="Collegamento ipertestuale" xfId="56" builtinId="8" hidden="1"/>
    <cellStyle name="Collegamento ipertestuale" xfId="84" builtinId="8" hidden="1"/>
    <cellStyle name="Collegamento ipertestuale" xfId="80" builtinId="8" hidden="1"/>
    <cellStyle name="Collegamento ipertestuale" xfId="82" builtinId="8" hidden="1"/>
    <cellStyle name="Collegamento ipertestuale" xfId="106" builtinId="8" hidden="1"/>
    <cellStyle name="Collegamento ipertestuale" xfId="136" builtinId="8" hidden="1"/>
    <cellStyle name="Collegamento ipertestuale" xfId="124" builtinId="8" hidden="1"/>
    <cellStyle name="Collegamento ipertestuale" xfId="138" builtinId="8" hidden="1"/>
    <cellStyle name="Collegamento ipertestuale" xfId="52" builtinId="8" hidden="1"/>
    <cellStyle name="Collegamento ipertestuale" xfId="128" builtinId="8" hidden="1"/>
    <cellStyle name="Collegamento ipertestuale" xfId="50" builtinId="8" hidden="1"/>
    <cellStyle name="Collegamento ipertestuale" xfId="100" builtinId="8" hidden="1"/>
    <cellStyle name="Collegamento ipertestuale" xfId="58" builtinId="8" hidden="1"/>
    <cellStyle name="Collegamento ipertestuale" xfId="156" builtinId="8" hidden="1"/>
    <cellStyle name="Collegamento ipertestuale" xfId="152" builtinId="8" hidden="1"/>
    <cellStyle name="Collegamento ipertestuale" xfId="76" builtinId="8" hidden="1"/>
    <cellStyle name="Collegamento ipertestuale" xfId="150" builtinId="8" hidden="1"/>
    <cellStyle name="Collegamento ipertestuale" xfId="116" builtinId="8" hidden="1"/>
    <cellStyle name="Collegamento ipertestuale" xfId="120" builtinId="8" hidden="1"/>
    <cellStyle name="Collegamento ipertestuale" xfId="110" builtinId="8" hidden="1"/>
    <cellStyle name="Collegamento ipertestuale" xfId="92" builtinId="8" hidden="1"/>
    <cellStyle name="Collegamento ipertestuale" xfId="94" builtinId="8" hidden="1"/>
    <cellStyle name="Collegamento ipertestuale" xfId="68" builtinId="8" hidden="1"/>
    <cellStyle name="Collegamento ipertestuale" xfId="54" builtinId="8" hidden="1"/>
    <cellStyle name="Collegamento ipertestuale" xfId="118" builtinId="8" hidden="1"/>
    <cellStyle name="Collegamento ipertestuale" xfId="134" builtinId="8" hidden="1"/>
    <cellStyle name="Collegamento ipertestuale" xfId="86" builtinId="8" hidden="1"/>
    <cellStyle name="Collegamento ipertestuale" xfId="114" builtinId="8" hidden="1"/>
    <cellStyle name="Collegamento ipertestuale" xfId="98" builtinId="8" hidden="1"/>
    <cellStyle name="Collegamento ipertestuale" xfId="130" builtinId="8" hidden="1"/>
    <cellStyle name="Collegamento ipertestuale" xfId="158" builtinId="8" hidden="1"/>
    <cellStyle name="Collegamento ipertestuale" xfId="102" builtinId="8" hidden="1"/>
    <cellStyle name="Collegamento ipertestuale" xfId="154" builtinId="8" hidden="1"/>
    <cellStyle name="Collegamento ipertestuale" xfId="142" builtinId="8" hidden="1"/>
    <cellStyle name="Collegamento ipertestuale" xfId="122" builtinId="8" hidden="1"/>
    <cellStyle name="Collegamento ipertestuale" xfId="60" builtinId="8" hidden="1"/>
    <cellStyle name="Collegamento ipertestuale" xfId="140" builtinId="8" hidden="1"/>
    <cellStyle name="Collegamento ipertestuale" xfId="70" builtinId="8" hidden="1"/>
    <cellStyle name="Collegamento ipertestuale" xfId="96" builtinId="8" hidden="1"/>
    <cellStyle name="Collegamento ipertestuale" xfId="88" builtinId="8" hidden="1"/>
    <cellStyle name="Collegamento ipertestuale" xfId="66" builtinId="8" hidden="1"/>
    <cellStyle name="Collegamento ipertestuale" xfId="90" builtinId="8" hidden="1"/>
    <cellStyle name="Collegamento ipertestuale" xfId="148" builtinId="8" hidden="1"/>
    <cellStyle name="Collegamento ipertestuale" xfId="132" builtinId="8" hidden="1"/>
    <cellStyle name="Collegamento ipertestuale" xfId="108" builtinId="8" hidden="1"/>
    <cellStyle name="Collegamento ipertestuale" xfId="78" builtinId="8" hidden="1"/>
    <cellStyle name="Collegamento ipertestuale" xfId="146" builtinId="8" hidden="1"/>
    <cellStyle name="Collegamento ipertestuale" xfId="62" builtinId="8" hidden="1"/>
    <cellStyle name="Collegamento ipertestuale" xfId="64" builtinId="8" hidden="1"/>
    <cellStyle name="Collegamento ipertestuale" xfId="74" builtinId="8" hidden="1"/>
    <cellStyle name="Collegamento ipertestuale" xfId="104" builtinId="8" hidden="1"/>
    <cellStyle name="Collegamento ipertestuale" xfId="144" builtinId="8" hidden="1"/>
    <cellStyle name="Collegamento ipertestuale visitato" xfId="49" builtinId="9" hidden="1"/>
    <cellStyle name="Collegamento ipertestuale visitato" xfId="65" builtinId="9" hidden="1"/>
    <cellStyle name="Collegamento ipertestuale visitato" xfId="121" builtinId="9" hidden="1"/>
    <cellStyle name="Collegamento ipertestuale visitato" xfId="139" builtinId="9" hidden="1"/>
    <cellStyle name="Collegamento ipertestuale visitato" xfId="73" builtinId="9" hidden="1"/>
    <cellStyle name="Collegamento ipertestuale visitato" xfId="97" builtinId="9" hidden="1"/>
    <cellStyle name="Collegamento ipertestuale visitato" xfId="129" builtinId="9" hidden="1"/>
    <cellStyle name="Collegamento ipertestuale visitato" xfId="99" builtinId="9" hidden="1"/>
    <cellStyle name="Collegamento ipertestuale visitato" xfId="59" builtinId="9" hidden="1"/>
    <cellStyle name="Collegamento ipertestuale visitato" xfId="131" builtinId="9" hidden="1"/>
    <cellStyle name="Collegamento ipertestuale visitato" xfId="89" builtinId="9" hidden="1"/>
    <cellStyle name="Collegamento ipertestuale visitato" xfId="109" builtinId="9" hidden="1"/>
    <cellStyle name="Collegamento ipertestuale visitato" xfId="117" builtinId="9" hidden="1"/>
    <cellStyle name="Collegamento ipertestuale visitato" xfId="147" builtinId="9" hidden="1"/>
    <cellStyle name="Collegamento ipertestuale visitato" xfId="135" builtinId="9" hidden="1"/>
    <cellStyle name="Collegamento ipertestuale visitato" xfId="53" builtinId="9" hidden="1"/>
    <cellStyle name="Collegamento ipertestuale visitato" xfId="123" builtinId="9" hidden="1"/>
    <cellStyle name="Collegamento ipertestuale visitato" xfId="157" builtinId="9" hidden="1"/>
    <cellStyle name="Collegamento ipertestuale visitato" xfId="137" builtinId="9" hidden="1"/>
    <cellStyle name="Collegamento ipertestuale visitato" xfId="113" builtinId="9" hidden="1"/>
    <cellStyle name="Collegamento ipertestuale visitato" xfId="79" builtinId="9" hidden="1"/>
    <cellStyle name="Collegamento ipertestuale visitato" xfId="149" builtinId="9" hidden="1"/>
    <cellStyle name="Collegamento ipertestuale visitato" xfId="119" builtinId="9" hidden="1"/>
    <cellStyle name="Collegamento ipertestuale visitato" xfId="105" builtinId="9" hidden="1"/>
    <cellStyle name="Collegamento ipertestuale visitato" xfId="143" builtinId="9" hidden="1"/>
    <cellStyle name="Collegamento ipertestuale visitato" xfId="127" builtinId="9" hidden="1"/>
    <cellStyle name="Collegamento ipertestuale visitato" xfId="51" builtinId="9" hidden="1"/>
    <cellStyle name="Collegamento ipertestuale visitato" xfId="57" builtinId="9" hidden="1"/>
    <cellStyle name="Collegamento ipertestuale visitato" xfId="61" builtinId="9" hidden="1"/>
    <cellStyle name="Collegamento ipertestuale visitato" xfId="111" builtinId="9" hidden="1"/>
    <cellStyle name="Collegamento ipertestuale visitato" xfId="151" builtinId="9" hidden="1"/>
    <cellStyle name="Collegamento ipertestuale visitato" xfId="71" builtinId="9" hidden="1"/>
    <cellStyle name="Collegamento ipertestuale visitato" xfId="75" builtinId="9" hidden="1"/>
    <cellStyle name="Collegamento ipertestuale visitato" xfId="141" builtinId="9" hidden="1"/>
    <cellStyle name="Collegamento ipertestuale visitato" xfId="93" builtinId="9" hidden="1"/>
    <cellStyle name="Collegamento ipertestuale visitato" xfId="155" builtinId="9" hidden="1"/>
    <cellStyle name="Collegamento ipertestuale visitato" xfId="103" builtinId="9" hidden="1"/>
    <cellStyle name="Collegamento ipertestuale visitato" xfId="55" builtinId="9" hidden="1"/>
    <cellStyle name="Collegamento ipertestuale visitato" xfId="95" builtinId="9" hidden="1"/>
    <cellStyle name="Collegamento ipertestuale visitato" xfId="63" builtinId="9" hidden="1"/>
    <cellStyle name="Collegamento ipertestuale visitato" xfId="91" builtinId="9" hidden="1"/>
    <cellStyle name="Collegamento ipertestuale visitato" xfId="85" builtinId="9" hidden="1"/>
    <cellStyle name="Collegamento ipertestuale visitato" xfId="81" builtinId="9" hidden="1"/>
    <cellStyle name="Collegamento ipertestuale visitato" xfId="67" builtinId="9" hidden="1"/>
    <cellStyle name="Collegamento ipertestuale visitato" xfId="153" builtinId="9" hidden="1"/>
    <cellStyle name="Collegamento ipertestuale visitato" xfId="69" builtinId="9" hidden="1"/>
    <cellStyle name="Collegamento ipertestuale visitato" xfId="77" builtinId="9" hidden="1"/>
    <cellStyle name="Collegamento ipertestuale visitato" xfId="101" builtinId="9" hidden="1"/>
    <cellStyle name="Collegamento ipertestuale visitato" xfId="145" builtinId="9" hidden="1"/>
    <cellStyle name="Collegamento ipertestuale visitato" xfId="125" builtinId="9" hidden="1"/>
    <cellStyle name="Collegamento ipertestuale visitato" xfId="133" builtinId="9" hidden="1"/>
    <cellStyle name="Collegamento ipertestuale visitato" xfId="107" builtinId="9" hidden="1"/>
    <cellStyle name="Collegamento ipertestuale visitato" xfId="83" builtinId="9" hidden="1"/>
    <cellStyle name="Collegamento ipertestuale visitato" xfId="87" builtinId="9" hidden="1"/>
    <cellStyle name="Collegamento ipertestuale visitato" xfId="115" builtinId="9" hidde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Input 2" xfId="163" xr:uid="{00000000-0005-0000-0000-00008C000000}"/>
    <cellStyle name="Neutrale" xfId="29" builtinId="28" customBuiltin="1"/>
    <cellStyle name="Normal_Int. Data Table" xfId="30" xr:uid="{00000000-0005-0000-0000-00008E000000}"/>
    <cellStyle name="Normale" xfId="0" builtinId="0"/>
    <cellStyle name="Normale 2" xfId="31" xr:uid="{00000000-0005-0000-0000-000090000000}"/>
    <cellStyle name="Normale 2 2" xfId="168" xr:uid="{00000000-0005-0000-0000-000091000000}"/>
    <cellStyle name="Normale 2 3" xfId="160" xr:uid="{00000000-0005-0000-0000-000092000000}"/>
    <cellStyle name="Normale 3" xfId="32" xr:uid="{00000000-0005-0000-0000-000093000000}"/>
    <cellStyle name="Normale 3 2" xfId="169" xr:uid="{00000000-0005-0000-0000-000094000000}"/>
    <cellStyle name="Normale 3 3" xfId="165" xr:uid="{00000000-0005-0000-0000-000095000000}"/>
    <cellStyle name="Normale 4" xfId="33" xr:uid="{00000000-0005-0000-0000-000096000000}"/>
    <cellStyle name="Normale 4 2" xfId="170" xr:uid="{00000000-0005-0000-0000-000097000000}"/>
    <cellStyle name="Normale 4 3" xfId="173" xr:uid="{00000000-0005-0000-0000-000098000000}"/>
    <cellStyle name="Normale 4 4" xfId="174" xr:uid="{00000000-0005-0000-0000-000099000000}"/>
    <cellStyle name="Normale 4 5" xfId="167" xr:uid="{00000000-0005-0000-0000-00009A000000}"/>
    <cellStyle name="Normale 5" xfId="172" xr:uid="{00000000-0005-0000-0000-00009B000000}"/>
    <cellStyle name="Normale 6" xfId="159" xr:uid="{00000000-0005-0000-0000-00009C000000}"/>
    <cellStyle name="Nota 2" xfId="34" xr:uid="{00000000-0005-0000-0000-00009D000000}"/>
    <cellStyle name="Nota 2 2" xfId="171" xr:uid="{00000000-0005-0000-0000-00009E000000}"/>
    <cellStyle name="Output" xfId="35" builtinId="21" customBuiltin="1"/>
    <cellStyle name="Standard_Anpassen der Amortisation" xfId="36" xr:uid="{00000000-0005-0000-0000-0000A0000000}"/>
    <cellStyle name="Testo avviso" xfId="37" builtinId="11" customBuiltin="1"/>
    <cellStyle name="Testo descrittivo" xfId="38" builtinId="53" customBuiltin="1"/>
    <cellStyle name="Titolo" xfId="39" builtinId="15" customBuiltin="1"/>
    <cellStyle name="Titolo 1" xfId="40" builtinId="16" customBuiltin="1"/>
    <cellStyle name="Titolo 2" xfId="41" builtinId="17" customBuiltin="1"/>
    <cellStyle name="Titolo 3" xfId="42" builtinId="18" customBuiltin="1"/>
    <cellStyle name="Titolo 4" xfId="43" builtinId="19" customBuiltin="1"/>
    <cellStyle name="Totale" xfId="44" builtinId="25" customBuiltin="1"/>
    <cellStyle name="Valore non valido" xfId="45" builtinId="27" customBuiltin="1"/>
    <cellStyle name="Valore valido" xfId="46" builtinId="26" customBuiltin="1"/>
    <cellStyle name="Valuta 2" xfId="161" xr:uid="{00000000-0005-0000-0000-0000AB000000}"/>
    <cellStyle name="Valuta 3" xfId="166" xr:uid="{00000000-0005-0000-0000-0000AC000000}"/>
    <cellStyle name="Währung [0]_Compiling Utility Macros" xfId="47" xr:uid="{00000000-0005-0000-0000-0000AD000000}"/>
    <cellStyle name="Währung_Compiling Utility Macros" xfId="48" xr:uid="{00000000-0005-0000-0000-0000AE000000}"/>
  </cellStyles>
  <dxfs count="45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b/>
        <i/>
        <condense val="0"/>
        <extend val="0"/>
        <color indexed="39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condense val="0"/>
        <extend val="0"/>
        <color indexed="1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31"/>
        </patternFill>
      </fill>
    </dxf>
    <dxf>
      <fill>
        <patternFill>
          <bgColor rgb="FFFF3300"/>
        </patternFill>
      </fill>
    </dxf>
    <dxf>
      <fill>
        <patternFill>
          <bgColor indexed="31"/>
        </patternFill>
      </fill>
    </dxf>
    <dxf>
      <fill>
        <patternFill>
          <bgColor rgb="FFFF3300"/>
        </patternFill>
      </fill>
    </dxf>
    <dxf>
      <fill>
        <patternFill>
          <bgColor indexed="31"/>
        </patternFill>
      </fill>
    </dxf>
    <dxf>
      <fill>
        <patternFill>
          <bgColor rgb="FFFF3300"/>
        </patternFill>
      </fill>
    </dxf>
    <dxf>
      <fill>
        <patternFill>
          <bgColor indexed="31"/>
        </patternFill>
      </fill>
    </dxf>
    <dxf>
      <fill>
        <patternFill>
          <bgColor rgb="FFFF3300"/>
        </patternFill>
      </fill>
    </dxf>
    <dxf>
      <fill>
        <patternFill>
          <bgColor indexed="31"/>
        </patternFill>
      </fill>
    </dxf>
    <dxf>
      <fill>
        <patternFill>
          <bgColor rgb="FFFF3300"/>
        </patternFill>
      </fill>
    </dxf>
    <dxf>
      <fill>
        <patternFill>
          <bgColor indexed="31"/>
        </patternFill>
      </fill>
    </dxf>
    <dxf>
      <fill>
        <patternFill>
          <bgColor rgb="FFFF3300"/>
        </patternFill>
      </fill>
    </dxf>
    <dxf>
      <fill>
        <patternFill>
          <bgColor rgb="FFFF3300"/>
        </patternFill>
      </fill>
    </dxf>
    <dxf>
      <fill>
        <patternFill>
          <bgColor indexed="31"/>
        </patternFill>
      </fill>
    </dxf>
    <dxf>
      <fill>
        <patternFill>
          <bgColor indexed="8"/>
        </patternFill>
      </fill>
    </dxf>
    <dxf>
      <fill>
        <patternFill>
          <bgColor indexed="31"/>
        </patternFill>
      </fill>
    </dxf>
    <dxf>
      <fill>
        <patternFill>
          <bgColor rgb="FFFF3300"/>
        </patternFill>
      </fill>
    </dxf>
    <dxf>
      <fill>
        <patternFill>
          <bgColor rgb="FFFFFF00"/>
        </patternFill>
      </fill>
    </dxf>
    <dxf>
      <fill>
        <patternFill>
          <bgColor theme="3" tint="0.79998168889431442"/>
        </patternFill>
      </fill>
    </dxf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 patternType="solid">
          <bgColor rgb="FF92D050"/>
        </patternFill>
      </fill>
    </dxf>
    <dxf>
      <fill>
        <patternFill patternType="none">
          <bgColor indexed="65"/>
        </patternFill>
      </fill>
    </dxf>
    <dxf>
      <fill>
        <patternFill>
          <bgColor indexed="31"/>
        </patternFill>
      </fill>
    </dxf>
    <dxf>
      <fill>
        <patternFill>
          <bgColor rgb="FFFF3300"/>
        </patternFill>
      </fill>
    </dxf>
  </dxfs>
  <tableStyles count="0" defaultTableStyle="TableStyleMedium2" defaultPivotStyle="PivotStyleLight16"/>
  <colors>
    <mruColors>
      <color rgb="FFF79646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lombardia.sindacatoorsa.it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lombardia.sindacatoorsa.it/" TargetMode="External"/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lombardia.sindacatoorsa.it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0</xdr:colOff>
      <xdr:row>5</xdr:row>
      <xdr:rowOff>298823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0813FBA-6D93-4400-A4F7-3C5E619F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473765" cy="1120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119528</xdr:colOff>
      <xdr:row>19</xdr:row>
      <xdr:rowOff>159094</xdr:rowOff>
    </xdr:from>
    <xdr:to>
      <xdr:col>9</xdr:col>
      <xdr:colOff>463176</xdr:colOff>
      <xdr:row>25</xdr:row>
      <xdr:rowOff>134469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C82BE858-1DFC-13AA-2981-17A8BE9D6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70940" y="5762035"/>
          <a:ext cx="3152589" cy="961493"/>
        </a:xfrm>
        <a:prstGeom prst="rect">
          <a:avLst/>
        </a:prstGeom>
      </xdr:spPr>
    </xdr:pic>
    <xdr:clientData/>
  </xdr:twoCellAnchor>
  <xdr:oneCellAnchor>
    <xdr:from>
      <xdr:col>2</xdr:col>
      <xdr:colOff>194236</xdr:colOff>
      <xdr:row>24</xdr:row>
      <xdr:rowOff>64108</xdr:rowOff>
    </xdr:from>
    <xdr:ext cx="7194915" cy="593304"/>
    <xdr:sp macro="" textlink="">
      <xdr:nvSpPr>
        <xdr:cNvPr id="5" name="Rettangol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25A0E2-B6E5-9B1B-1EC0-D8C1FFAD02C1}"/>
            </a:ext>
          </a:extLst>
        </xdr:cNvPr>
        <xdr:cNvSpPr/>
      </xdr:nvSpPr>
      <xdr:spPr>
        <a:xfrm>
          <a:off x="1538942" y="6488814"/>
          <a:ext cx="7194915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threePt" dir="t"/>
          </a:scene3d>
          <a:sp3d extrusionH="57150" contourW="12700">
            <a:extrusionClr>
              <a:schemeClr val="tx1"/>
            </a:extrusionClr>
            <a:contourClr>
              <a:schemeClr val="accent1"/>
            </a:contourClr>
          </a:sp3d>
        </a:bodyPr>
        <a:lstStyle/>
        <a:p>
          <a:pPr algn="ctr"/>
          <a:r>
            <a:rPr lang="it-IT" sz="3200" b="1" cap="none" spc="0">
              <a:ln w="22225" cap="rnd">
                <a:gradFill>
                  <a:gsLst>
                    <a:gs pos="52000">
                      <a:schemeClr val="accent6"/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prstDash val="solid"/>
              </a:ln>
              <a:gradFill flip="none" rotWithShape="1">
                <a:gsLst>
                  <a:gs pos="0">
                    <a:schemeClr val="accent6">
                      <a:lumMod val="0"/>
                      <a:lumOff val="100000"/>
                    </a:schemeClr>
                  </a:gs>
                  <a:gs pos="69000">
                    <a:schemeClr val="accent6">
                      <a:lumMod val="0"/>
                      <a:lumOff val="100000"/>
                    </a:schemeClr>
                  </a:gs>
                  <a:gs pos="100000">
                    <a:schemeClr val="accent6">
                      <a:lumMod val="100000"/>
                    </a:schemeClr>
                  </a:gs>
                </a:gsLst>
                <a:path path="circle">
                  <a:fillToRect l="50000" t="-80000" r="50000" b="180000"/>
                </a:path>
                <a:tileRect/>
              </a:gradFill>
              <a:effectLst>
                <a:outerShdw blurRad="41275" dist="20320" dir="1800000" sx="1000" sy="1000" algn="tl" rotWithShape="0">
                  <a:srgbClr val="000000">
                    <a:alpha val="91000"/>
                  </a:srgbClr>
                </a:outerShdw>
              </a:effectLst>
            </a:rPr>
            <a:t>www.lombardia.sindacatoorsa.it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5985</xdr:colOff>
      <xdr:row>34</xdr:row>
      <xdr:rowOff>16296</xdr:rowOff>
    </xdr:from>
    <xdr:to>
      <xdr:col>11</xdr:col>
      <xdr:colOff>186774</xdr:colOff>
      <xdr:row>38</xdr:row>
      <xdr:rowOff>114189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5B4F227E-9A88-F54C-BC19-E2FCC5137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1485" y="6772696"/>
          <a:ext cx="3152589" cy="7582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12700</xdr:rowOff>
    </xdr:from>
    <xdr:to>
      <xdr:col>16</xdr:col>
      <xdr:colOff>0</xdr:colOff>
      <xdr:row>5</xdr:row>
      <xdr:rowOff>12700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89027DA-6B70-450A-A764-DF2EE66AA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"/>
          <a:ext cx="78994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259985</xdr:colOff>
      <xdr:row>36</xdr:row>
      <xdr:rowOff>67096</xdr:rowOff>
    </xdr:from>
    <xdr:ext cx="7194915" cy="593304"/>
    <xdr:sp macro="" textlink="">
      <xdr:nvSpPr>
        <xdr:cNvPr id="8" name="Rettangolo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490A41-085E-234B-BBED-F6BAF8CA2178}"/>
            </a:ext>
          </a:extLst>
        </xdr:cNvPr>
        <xdr:cNvSpPr/>
      </xdr:nvSpPr>
      <xdr:spPr>
        <a:xfrm>
          <a:off x="259985" y="7153696"/>
          <a:ext cx="7194915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threePt" dir="t"/>
          </a:scene3d>
          <a:sp3d extrusionH="57150" contourW="12700">
            <a:extrusionClr>
              <a:schemeClr val="tx1"/>
            </a:extrusionClr>
            <a:contourClr>
              <a:schemeClr val="accent1"/>
            </a:contourClr>
          </a:sp3d>
        </a:bodyPr>
        <a:lstStyle/>
        <a:p>
          <a:pPr algn="ctr"/>
          <a:r>
            <a:rPr lang="it-IT" sz="3200" b="1" cap="none" spc="0">
              <a:ln w="22225" cap="rnd">
                <a:gradFill>
                  <a:gsLst>
                    <a:gs pos="52000">
                      <a:schemeClr val="accent6"/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prstDash val="solid"/>
              </a:ln>
              <a:gradFill flip="none" rotWithShape="1">
                <a:gsLst>
                  <a:gs pos="0">
                    <a:schemeClr val="accent6">
                      <a:lumMod val="0"/>
                      <a:lumOff val="100000"/>
                    </a:schemeClr>
                  </a:gs>
                  <a:gs pos="69000">
                    <a:schemeClr val="accent6">
                      <a:lumMod val="0"/>
                      <a:lumOff val="100000"/>
                    </a:schemeClr>
                  </a:gs>
                  <a:gs pos="100000">
                    <a:schemeClr val="accent6">
                      <a:lumMod val="100000"/>
                    </a:schemeClr>
                  </a:gs>
                </a:gsLst>
                <a:path path="circle">
                  <a:fillToRect l="50000" t="-80000" r="50000" b="180000"/>
                </a:path>
                <a:tileRect/>
              </a:gradFill>
              <a:effectLst>
                <a:outerShdw blurRad="41275" dist="20320" dir="1800000" sx="1000" sy="1000" algn="tl" rotWithShape="0">
                  <a:srgbClr val="000000">
                    <a:alpha val="91000"/>
                  </a:srgbClr>
                </a:outerShdw>
              </a:effectLst>
            </a:rPr>
            <a:t>www.lombardia.sindacatoorsa.it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</xdr:row>
      <xdr:rowOff>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0F0B32E-C8F8-4C93-8624-6C518DC4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88900</xdr:colOff>
      <xdr:row>45</xdr:row>
      <xdr:rowOff>12700</xdr:rowOff>
    </xdr:from>
    <xdr:to>
      <xdr:col>7</xdr:col>
      <xdr:colOff>447489</xdr:colOff>
      <xdr:row>49</xdr:row>
      <xdr:rowOff>110593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9005230C-FAD5-6248-8F9C-D4DCBB070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84400" y="7899400"/>
          <a:ext cx="3152589" cy="758293"/>
        </a:xfrm>
        <a:prstGeom prst="rect">
          <a:avLst/>
        </a:prstGeom>
      </xdr:spPr>
    </xdr:pic>
    <xdr:clientData/>
  </xdr:twoCellAnchor>
  <xdr:oneCellAnchor>
    <xdr:from>
      <xdr:col>0</xdr:col>
      <xdr:colOff>132985</xdr:colOff>
      <xdr:row>47</xdr:row>
      <xdr:rowOff>63500</xdr:rowOff>
    </xdr:from>
    <xdr:ext cx="7194915" cy="593304"/>
    <xdr:sp macro="" textlink="">
      <xdr:nvSpPr>
        <xdr:cNvPr id="5" name="Rettangol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0462D5-9140-C74C-824D-35795C6572C8}"/>
            </a:ext>
          </a:extLst>
        </xdr:cNvPr>
        <xdr:cNvSpPr/>
      </xdr:nvSpPr>
      <xdr:spPr>
        <a:xfrm>
          <a:off x="132985" y="8280400"/>
          <a:ext cx="7194915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threePt" dir="t"/>
          </a:scene3d>
          <a:sp3d extrusionH="57150" contourW="12700">
            <a:extrusionClr>
              <a:schemeClr val="tx1"/>
            </a:extrusionClr>
            <a:contourClr>
              <a:schemeClr val="accent1"/>
            </a:contourClr>
          </a:sp3d>
        </a:bodyPr>
        <a:lstStyle/>
        <a:p>
          <a:pPr algn="ctr"/>
          <a:r>
            <a:rPr lang="it-IT" sz="3200" b="1" cap="none" spc="0">
              <a:ln w="22225" cap="rnd">
                <a:gradFill>
                  <a:gsLst>
                    <a:gs pos="52000">
                      <a:schemeClr val="accent6"/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prstDash val="solid"/>
              </a:ln>
              <a:gradFill flip="none" rotWithShape="1">
                <a:gsLst>
                  <a:gs pos="0">
                    <a:schemeClr val="accent6">
                      <a:lumMod val="0"/>
                      <a:lumOff val="100000"/>
                    </a:schemeClr>
                  </a:gs>
                  <a:gs pos="69000">
                    <a:schemeClr val="accent6">
                      <a:lumMod val="0"/>
                      <a:lumOff val="100000"/>
                    </a:schemeClr>
                  </a:gs>
                  <a:gs pos="100000">
                    <a:schemeClr val="accent6">
                      <a:lumMod val="100000"/>
                    </a:schemeClr>
                  </a:gs>
                </a:gsLst>
                <a:path path="circle">
                  <a:fillToRect l="50000" t="-80000" r="50000" b="180000"/>
                </a:path>
                <a:tileRect/>
              </a:gradFill>
              <a:effectLst>
                <a:outerShdw blurRad="41275" dist="20320" dir="1800000" sx="1000" sy="1000" algn="tl" rotWithShape="0">
                  <a:srgbClr val="000000">
                    <a:alpha val="91000"/>
                  </a:srgbClr>
                </a:outerShdw>
              </a:effectLst>
            </a:rPr>
            <a:t>www.lombardia.sindacatoorsa.it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47</xdr:col>
      <xdr:colOff>489857</xdr:colOff>
      <xdr:row>0</xdr:row>
      <xdr:rowOff>81643</xdr:rowOff>
    </xdr:from>
    <xdr:to>
      <xdr:col>60</xdr:col>
      <xdr:colOff>0</xdr:colOff>
      <xdr:row>3</xdr:row>
      <xdr:rowOff>203559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A1259B5-909F-0739-520A-0C92E85F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5821" y="81643"/>
          <a:ext cx="5306786" cy="720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81C42-28BD-3E48-96C6-BD7898DA945C}">
  <dimension ref="A1:O28"/>
  <sheetViews>
    <sheetView showGridLines="0" tabSelected="1" zoomScaleNormal="100" zoomScaleSheetLayoutView="100" workbookViewId="0">
      <selection activeCell="B9" sqref="B9:N9"/>
    </sheetView>
  </sheetViews>
  <sheetFormatPr defaultColWidth="0" defaultRowHeight="12.75" zeroHeight="1" x14ac:dyDescent="0.2"/>
  <cols>
    <col min="1" max="1" width="9.140625" customWidth="1"/>
    <col min="2" max="2" width="8.28515625" customWidth="1"/>
    <col min="3" max="15" width="9.140625" customWidth="1"/>
    <col min="16" max="16384" width="9.140625" hidden="1"/>
  </cols>
  <sheetData>
    <row r="1" spans="1:15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24.9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.75" x14ac:dyDescent="0.25">
      <c r="A7" s="2"/>
      <c r="B7" s="274" t="s">
        <v>155</v>
      </c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</row>
    <row r="8" spans="1:15" s="2" customFormat="1" x14ac:dyDescent="0.2"/>
    <row r="9" spans="1:15" s="2" customFormat="1" ht="24.95" customHeight="1" x14ac:dyDescent="0.2">
      <c r="B9" s="273" t="s">
        <v>156</v>
      </c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3"/>
    </row>
    <row r="10" spans="1:15" s="2" customFormat="1" ht="24.95" customHeight="1" x14ac:dyDescent="0.2">
      <c r="B10" s="273" t="s">
        <v>158</v>
      </c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</row>
    <row r="11" spans="1:15" s="2" customFormat="1" ht="24.95" customHeight="1" x14ac:dyDescent="0.2">
      <c r="B11" s="273" t="s">
        <v>157</v>
      </c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</row>
    <row r="12" spans="1:15" s="2" customFormat="1" ht="24.95" customHeight="1" x14ac:dyDescent="0.2">
      <c r="B12" s="273" t="s">
        <v>162</v>
      </c>
      <c r="C12" s="273"/>
      <c r="D12" s="273"/>
      <c r="E12" s="273"/>
      <c r="F12" s="273"/>
      <c r="G12" s="273"/>
      <c r="H12" s="273"/>
      <c r="I12" s="273"/>
      <c r="J12" s="273"/>
      <c r="K12" s="273"/>
      <c r="L12" s="273"/>
      <c r="M12" s="273"/>
      <c r="N12" s="273"/>
    </row>
    <row r="13" spans="1:15" ht="33.950000000000003" customHeight="1" x14ac:dyDescent="0.2">
      <c r="B13" s="273" t="s">
        <v>163</v>
      </c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</row>
    <row r="14" spans="1:15" ht="24.95" customHeight="1" x14ac:dyDescent="0.2">
      <c r="B14" s="273" t="s">
        <v>164</v>
      </c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"/>
    </row>
    <row r="15" spans="1:15" ht="24.95" customHeight="1" x14ac:dyDescent="0.2">
      <c r="B15" s="273" t="s">
        <v>169</v>
      </c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2"/>
    </row>
    <row r="16" spans="1:15" ht="84" customHeight="1" x14ac:dyDescent="0.2">
      <c r="B16" s="273" t="s">
        <v>166</v>
      </c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</row>
    <row r="17" spans="1:15" ht="30.75" customHeight="1" x14ac:dyDescent="0.2">
      <c r="B17" s="273" t="s">
        <v>165</v>
      </c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</row>
    <row r="18" spans="1:15" x14ac:dyDescent="0.2">
      <c r="A18" s="2"/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"/>
    </row>
    <row r="19" spans="1:15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5" s="2" customFormat="1" x14ac:dyDescent="0.2">
      <c r="B20" s="276" t="s">
        <v>159</v>
      </c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</row>
    <row r="21" spans="1:15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">
      <c r="A22" s="2"/>
      <c r="B22" s="2"/>
      <c r="C22" s="2"/>
      <c r="D22" s="2"/>
      <c r="E22" s="2"/>
      <c r="F22" s="2"/>
      <c r="G22" s="2"/>
      <c r="H22" s="271"/>
      <c r="I22" s="272"/>
      <c r="J22" s="272"/>
      <c r="K22" s="272"/>
      <c r="L22" s="272"/>
      <c r="M22" s="272"/>
      <c r="N22" s="272"/>
      <c r="O22" s="2"/>
    </row>
    <row r="23" spans="1:15" x14ac:dyDescent="0.2">
      <c r="A23" s="2"/>
      <c r="B23" s="2"/>
      <c r="C23" s="2"/>
      <c r="D23" s="2"/>
      <c r="E23" s="2"/>
      <c r="F23" s="2"/>
      <c r="G23" s="2"/>
      <c r="H23" s="272"/>
      <c r="I23" s="272"/>
      <c r="J23" s="272"/>
      <c r="K23" s="272"/>
      <c r="L23" s="272"/>
      <c r="M23" s="272"/>
      <c r="N23" s="272"/>
      <c r="O23" s="2"/>
    </row>
    <row r="24" spans="1:15" x14ac:dyDescent="0.2">
      <c r="A24" s="2"/>
      <c r="B24" s="2"/>
      <c r="C24" s="2"/>
      <c r="D24" s="2"/>
      <c r="E24" s="2"/>
      <c r="F24" s="2"/>
      <c r="G24" s="2"/>
      <c r="H24" s="272"/>
      <c r="I24" s="272"/>
      <c r="J24" s="272"/>
      <c r="K24" s="272"/>
      <c r="L24" s="272"/>
      <c r="M24" s="272"/>
      <c r="N24" s="272"/>
      <c r="O24" s="2"/>
    </row>
    <row r="25" spans="1:15" x14ac:dyDescent="0.2">
      <c r="A25" s="2"/>
      <c r="B25" s="2"/>
      <c r="C25" s="2"/>
      <c r="E25" s="2"/>
      <c r="F25" s="2"/>
      <c r="H25" s="272"/>
      <c r="I25" s="272"/>
      <c r="J25" s="272"/>
      <c r="K25" s="272"/>
      <c r="L25" s="272"/>
      <c r="M25" s="272"/>
      <c r="N25" s="272"/>
      <c r="O25" s="2"/>
    </row>
    <row r="26" spans="1:15" x14ac:dyDescent="0.2">
      <c r="H26" s="272"/>
      <c r="I26" s="272"/>
      <c r="J26" s="272"/>
      <c r="K26" s="272"/>
      <c r="L26" s="272"/>
      <c r="M26" s="272"/>
      <c r="N26" s="272"/>
    </row>
    <row r="27" spans="1:15" x14ac:dyDescent="0.2">
      <c r="H27" s="272"/>
      <c r="I27" s="272"/>
      <c r="J27" s="272"/>
      <c r="K27" s="272"/>
      <c r="L27" s="272"/>
      <c r="M27" s="272"/>
      <c r="N27" s="272"/>
    </row>
    <row r="28" spans="1:15" x14ac:dyDescent="0.2">
      <c r="H28" s="272"/>
      <c r="I28" s="272"/>
      <c r="J28" s="272"/>
      <c r="K28" s="272"/>
      <c r="L28" s="272"/>
      <c r="M28" s="272"/>
      <c r="N28" s="272"/>
    </row>
  </sheetData>
  <sheetProtection algorithmName="SHA-512" hashValue="JTcNJolaIG0vB2aYOcpwypwhTePKMzwp9LOqpHW9PsujR38nHzrJPsk4E5yikjuz/NgaSIbiIVe0KQvvL2IRPw==" saltValue="d+9YqSHBhUCC9n4K0C4F9g==" spinCount="100000" sheet="1" objects="1" scenarios="1"/>
  <mergeCells count="12">
    <mergeCell ref="H22:N28"/>
    <mergeCell ref="B17:N18"/>
    <mergeCell ref="B16:N16"/>
    <mergeCell ref="B7:N7"/>
    <mergeCell ref="B20:N20"/>
    <mergeCell ref="B9:N9"/>
    <mergeCell ref="B10:N10"/>
    <mergeCell ref="B11:N11"/>
    <mergeCell ref="B12:N12"/>
    <mergeCell ref="B13:N13"/>
    <mergeCell ref="B14:N14"/>
    <mergeCell ref="B15:O15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B1:P40"/>
  <sheetViews>
    <sheetView topLeftCell="A16" workbookViewId="0">
      <selection activeCell="B20" sqref="B20:D20"/>
    </sheetView>
  </sheetViews>
  <sheetFormatPr defaultColWidth="0" defaultRowHeight="12.75" zeroHeight="1" x14ac:dyDescent="0.2"/>
  <cols>
    <col min="1" max="4" width="9.140625" style="2" customWidth="1"/>
    <col min="5" max="5" width="1.140625" style="2" customWidth="1"/>
    <col min="6" max="6" width="4.42578125" style="2" customWidth="1"/>
    <col min="7" max="7" width="2.42578125" style="2" customWidth="1"/>
    <col min="8" max="9" width="4.42578125" style="2" customWidth="1"/>
    <col min="10" max="10" width="9.140625" style="2" customWidth="1"/>
    <col min="11" max="11" width="3.28515625" style="2" customWidth="1"/>
    <col min="12" max="12" width="10.140625" style="2" customWidth="1"/>
    <col min="13" max="13" width="4.140625" style="2" customWidth="1"/>
    <col min="14" max="14" width="3.28515625" style="2" customWidth="1"/>
    <col min="15" max="15" width="9.140625" style="2" customWidth="1"/>
    <col min="16" max="16" width="10.140625" style="2" bestFit="1" customWidth="1"/>
    <col min="17" max="16384" width="0" style="2" hidden="1"/>
  </cols>
  <sheetData>
    <row r="1" spans="2:16" x14ac:dyDescent="0.2"/>
    <row r="2" spans="2:16" x14ac:dyDescent="0.2"/>
    <row r="3" spans="2:16" x14ac:dyDescent="0.2"/>
    <row r="4" spans="2:16" x14ac:dyDescent="0.2"/>
    <row r="5" spans="2:16" x14ac:dyDescent="0.2"/>
    <row r="6" spans="2:16" ht="15.75" x14ac:dyDescent="0.25">
      <c r="B6" s="274" t="s">
        <v>160</v>
      </c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P6" s="37"/>
    </row>
    <row r="7" spans="2:16" x14ac:dyDescent="0.2"/>
    <row r="8" spans="2:16" x14ac:dyDescent="0.2">
      <c r="B8" s="2" t="s">
        <v>30</v>
      </c>
    </row>
    <row r="9" spans="2:16" ht="7.35" customHeight="1" x14ac:dyDescent="0.2"/>
    <row r="10" spans="2:16" ht="20.100000000000001" customHeight="1" x14ac:dyDescent="0.2">
      <c r="B10" s="10" t="s">
        <v>0</v>
      </c>
      <c r="C10" s="10"/>
      <c r="D10" s="10"/>
      <c r="E10" s="4"/>
      <c r="F10" s="278">
        <v>2025</v>
      </c>
      <c r="G10" s="279"/>
      <c r="H10" s="280"/>
      <c r="I10" s="31"/>
    </row>
    <row r="11" spans="2:16" x14ac:dyDescent="0.2"/>
    <row r="12" spans="2:16" ht="20.100000000000001" customHeight="1" x14ac:dyDescent="0.2">
      <c r="B12" s="283" t="s">
        <v>42</v>
      </c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</row>
    <row r="13" spans="2:16" ht="20.100000000000001" customHeight="1" x14ac:dyDescent="0.2">
      <c r="B13" s="284"/>
      <c r="C13" s="284"/>
      <c r="D13" s="284"/>
      <c r="E13" s="284"/>
      <c r="F13" s="284"/>
      <c r="G13" s="284"/>
      <c r="H13" s="284"/>
      <c r="I13" s="284"/>
      <c r="J13" s="284"/>
      <c r="K13" s="284"/>
      <c r="L13" s="284"/>
      <c r="M13" s="284"/>
      <c r="N13" s="284"/>
    </row>
    <row r="14" spans="2:16" ht="48" customHeight="1" x14ac:dyDescent="0.2">
      <c r="B14" s="281" t="s">
        <v>55</v>
      </c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</row>
    <row r="15" spans="2:16" ht="18" customHeight="1" x14ac:dyDescent="0.2">
      <c r="F15" s="11" t="s">
        <v>24</v>
      </c>
      <c r="G15" s="11"/>
      <c r="H15" s="11" t="s">
        <v>25</v>
      </c>
      <c r="I15" s="11"/>
      <c r="L15" s="12"/>
    </row>
    <row r="16" spans="2:16" ht="15" customHeight="1" x14ac:dyDescent="0.2">
      <c r="B16" s="277" t="s">
        <v>31</v>
      </c>
      <c r="C16" s="277"/>
      <c r="D16" s="277"/>
      <c r="E16" s="4"/>
      <c r="F16" s="13">
        <v>1</v>
      </c>
      <c r="G16" s="14" t="s">
        <v>22</v>
      </c>
      <c r="H16" s="13">
        <v>1</v>
      </c>
      <c r="I16" s="25"/>
      <c r="L16" s="5">
        <f>IF(F16*H16&gt;0,DATE(Anno,H16,F16),"")</f>
        <v>45658</v>
      </c>
    </row>
    <row r="17" spans="2:12" ht="15" customHeight="1" x14ac:dyDescent="0.2">
      <c r="B17" s="277" t="s">
        <v>32</v>
      </c>
      <c r="C17" s="277"/>
      <c r="D17" s="277"/>
      <c r="E17" s="4"/>
      <c r="F17" s="13">
        <v>6</v>
      </c>
      <c r="G17" s="14" t="s">
        <v>22</v>
      </c>
      <c r="H17" s="13">
        <v>1</v>
      </c>
      <c r="I17" s="25"/>
      <c r="L17" s="5">
        <f t="shared" ref="L17:L30" si="0">IF(F17*H17&gt;0,DATE(Anno,H17,F17),"")</f>
        <v>45663</v>
      </c>
    </row>
    <row r="18" spans="2:12" ht="15" customHeight="1" x14ac:dyDescent="0.2">
      <c r="B18" s="277" t="s">
        <v>33</v>
      </c>
      <c r="C18" s="277"/>
      <c r="D18" s="277"/>
      <c r="E18" s="4"/>
      <c r="F18" s="13">
        <v>25</v>
      </c>
      <c r="G18" s="14" t="s">
        <v>22</v>
      </c>
      <c r="H18" s="13">
        <v>4</v>
      </c>
      <c r="I18" s="25"/>
      <c r="L18" s="5">
        <f t="shared" si="0"/>
        <v>45772</v>
      </c>
    </row>
    <row r="19" spans="2:12" ht="15" customHeight="1" x14ac:dyDescent="0.2">
      <c r="B19" s="277" t="s">
        <v>34</v>
      </c>
      <c r="C19" s="277"/>
      <c r="D19" s="277"/>
      <c r="E19" s="4"/>
      <c r="F19" s="13">
        <v>1</v>
      </c>
      <c r="G19" s="14" t="s">
        <v>22</v>
      </c>
      <c r="H19" s="13">
        <v>5</v>
      </c>
      <c r="I19" s="25"/>
      <c r="L19" s="5">
        <f t="shared" si="0"/>
        <v>45778</v>
      </c>
    </row>
    <row r="20" spans="2:12" ht="15" customHeight="1" x14ac:dyDescent="0.2">
      <c r="B20" s="277" t="s">
        <v>35</v>
      </c>
      <c r="C20" s="277"/>
      <c r="D20" s="277"/>
      <c r="E20" s="4"/>
      <c r="F20" s="13">
        <v>2</v>
      </c>
      <c r="G20" s="14" t="s">
        <v>22</v>
      </c>
      <c r="H20" s="13">
        <v>6</v>
      </c>
      <c r="I20" s="25"/>
      <c r="L20" s="5">
        <f t="shared" si="0"/>
        <v>45810</v>
      </c>
    </row>
    <row r="21" spans="2:12" ht="15" customHeight="1" x14ac:dyDescent="0.2">
      <c r="B21" s="277" t="s">
        <v>36</v>
      </c>
      <c r="C21" s="277"/>
      <c r="D21" s="277"/>
      <c r="E21" s="4"/>
      <c r="F21" s="13">
        <v>15</v>
      </c>
      <c r="G21" s="14" t="s">
        <v>22</v>
      </c>
      <c r="H21" s="13">
        <v>8</v>
      </c>
      <c r="I21" s="25"/>
      <c r="L21" s="5">
        <f t="shared" si="0"/>
        <v>45884</v>
      </c>
    </row>
    <row r="22" spans="2:12" ht="15" customHeight="1" x14ac:dyDescent="0.2">
      <c r="B22" s="277" t="s">
        <v>37</v>
      </c>
      <c r="C22" s="277"/>
      <c r="D22" s="277"/>
      <c r="E22" s="4"/>
      <c r="F22" s="13">
        <v>1</v>
      </c>
      <c r="G22" s="14" t="s">
        <v>22</v>
      </c>
      <c r="H22" s="13">
        <v>11</v>
      </c>
      <c r="I22" s="25"/>
      <c r="L22" s="5">
        <f t="shared" si="0"/>
        <v>45962</v>
      </c>
    </row>
    <row r="23" spans="2:12" ht="15" customHeight="1" x14ac:dyDescent="0.2">
      <c r="B23" s="277" t="s">
        <v>38</v>
      </c>
      <c r="C23" s="277"/>
      <c r="D23" s="277"/>
      <c r="E23" s="4"/>
      <c r="F23" s="13">
        <v>8</v>
      </c>
      <c r="G23" s="14" t="s">
        <v>22</v>
      </c>
      <c r="H23" s="13">
        <v>12</v>
      </c>
      <c r="I23" s="25"/>
      <c r="L23" s="5">
        <f t="shared" si="0"/>
        <v>45999</v>
      </c>
    </row>
    <row r="24" spans="2:12" ht="15" customHeight="1" x14ac:dyDescent="0.2">
      <c r="B24" s="277" t="s">
        <v>39</v>
      </c>
      <c r="C24" s="277"/>
      <c r="D24" s="277"/>
      <c r="E24" s="4"/>
      <c r="F24" s="13">
        <v>25</v>
      </c>
      <c r="G24" s="14" t="s">
        <v>22</v>
      </c>
      <c r="H24" s="13">
        <v>12</v>
      </c>
      <c r="I24" s="25"/>
      <c r="L24" s="5">
        <f t="shared" si="0"/>
        <v>46016</v>
      </c>
    </row>
    <row r="25" spans="2:12" ht="15" customHeight="1" x14ac:dyDescent="0.2">
      <c r="B25" s="277" t="s">
        <v>40</v>
      </c>
      <c r="C25" s="277"/>
      <c r="D25" s="277"/>
      <c r="E25" s="4"/>
      <c r="F25" s="13">
        <v>26</v>
      </c>
      <c r="G25" s="14" t="s">
        <v>22</v>
      </c>
      <c r="H25" s="13">
        <v>12</v>
      </c>
      <c r="I25" s="25"/>
      <c r="L25" s="5">
        <f t="shared" si="0"/>
        <v>46017</v>
      </c>
    </row>
    <row r="26" spans="2:12" ht="15" customHeight="1" x14ac:dyDescent="0.2">
      <c r="B26" s="277" t="s">
        <v>26</v>
      </c>
      <c r="C26" s="277"/>
      <c r="D26" s="277"/>
      <c r="E26" s="4"/>
      <c r="F26" s="13">
        <v>7</v>
      </c>
      <c r="G26" s="14" t="s">
        <v>22</v>
      </c>
      <c r="H26" s="13">
        <v>12</v>
      </c>
      <c r="I26" s="25"/>
      <c r="L26" s="5">
        <f t="shared" si="0"/>
        <v>45998</v>
      </c>
    </row>
    <row r="27" spans="2:12" ht="15" customHeight="1" x14ac:dyDescent="0.2">
      <c r="B27" s="277"/>
      <c r="C27" s="277"/>
      <c r="D27" s="277"/>
      <c r="E27" s="4"/>
      <c r="F27" s="13"/>
      <c r="G27" s="14" t="s">
        <v>22</v>
      </c>
      <c r="H27" s="13"/>
      <c r="I27" s="25"/>
      <c r="L27" s="5" t="str">
        <f t="shared" si="0"/>
        <v/>
      </c>
    </row>
    <row r="28" spans="2:12" ht="15" customHeight="1" x14ac:dyDescent="0.2">
      <c r="B28" s="277"/>
      <c r="C28" s="277"/>
      <c r="D28" s="277"/>
      <c r="E28" s="4"/>
      <c r="F28" s="13"/>
      <c r="G28" s="14" t="s">
        <v>22</v>
      </c>
      <c r="H28" s="13"/>
      <c r="I28" s="25"/>
      <c r="L28" s="5" t="str">
        <f t="shared" si="0"/>
        <v/>
      </c>
    </row>
    <row r="29" spans="2:12" ht="15" customHeight="1" x14ac:dyDescent="0.2">
      <c r="B29" s="277"/>
      <c r="C29" s="277"/>
      <c r="D29" s="277"/>
      <c r="E29" s="4"/>
      <c r="F29" s="13"/>
      <c r="G29" s="14" t="s">
        <v>22</v>
      </c>
      <c r="H29" s="13"/>
      <c r="I29" s="25"/>
      <c r="L29" s="5" t="str">
        <f t="shared" si="0"/>
        <v/>
      </c>
    </row>
    <row r="30" spans="2:12" ht="15" customHeight="1" x14ac:dyDescent="0.2">
      <c r="B30" s="277"/>
      <c r="C30" s="277"/>
      <c r="D30" s="277"/>
      <c r="E30" s="4"/>
      <c r="F30" s="13"/>
      <c r="G30" s="14" t="s">
        <v>22</v>
      </c>
      <c r="H30" s="13"/>
      <c r="I30" s="25"/>
      <c r="J30" s="29" t="s">
        <v>52</v>
      </c>
      <c r="K30" s="29"/>
      <c r="L30" s="5" t="str">
        <f t="shared" si="0"/>
        <v/>
      </c>
    </row>
    <row r="31" spans="2:12" ht="15" customHeight="1" x14ac:dyDescent="0.2">
      <c r="B31" s="285" t="s">
        <v>41</v>
      </c>
      <c r="C31" s="285"/>
      <c r="D31" s="285"/>
      <c r="E31" s="4"/>
      <c r="F31" s="15">
        <f>DAY(L31)</f>
        <v>21</v>
      </c>
      <c r="G31" s="14" t="s">
        <v>22</v>
      </c>
      <c r="H31" s="15">
        <f>MONTH(L31)</f>
        <v>4</v>
      </c>
      <c r="I31" s="28"/>
      <c r="J31" s="32" t="s">
        <v>53</v>
      </c>
      <c r="L31" s="5">
        <f>IF(J31="Si",Pasqua+1,"")</f>
        <v>45768</v>
      </c>
    </row>
    <row r="32" spans="2:12" x14ac:dyDescent="0.2">
      <c r="L32" s="16"/>
    </row>
    <row r="33" spans="2:14" x14ac:dyDescent="0.2"/>
    <row r="34" spans="2:14" x14ac:dyDescent="0.2">
      <c r="B34" s="276" t="s">
        <v>159</v>
      </c>
      <c r="C34" s="276"/>
      <c r="D34" s="276"/>
      <c r="E34" s="276"/>
      <c r="F34" s="276"/>
      <c r="G34" s="276"/>
      <c r="H34" s="276"/>
      <c r="I34" s="276"/>
      <c r="J34" s="276"/>
      <c r="K34" s="276"/>
      <c r="L34" s="276"/>
      <c r="M34" s="276"/>
      <c r="N34" s="276"/>
    </row>
    <row r="35" spans="2:14" x14ac:dyDescent="0.2"/>
    <row r="36" spans="2:14" x14ac:dyDescent="0.2">
      <c r="B36"/>
    </row>
    <row r="37" spans="2:14" x14ac:dyDescent="0.2">
      <c r="B37" s="30" t="s">
        <v>53</v>
      </c>
    </row>
    <row r="38" spans="2:14" x14ac:dyDescent="0.2">
      <c r="B38" s="30" t="s">
        <v>54</v>
      </c>
    </row>
    <row r="39" spans="2:14" x14ac:dyDescent="0.2"/>
    <row r="40" spans="2:14" x14ac:dyDescent="0.2"/>
  </sheetData>
  <mergeCells count="21">
    <mergeCell ref="B19:D19"/>
    <mergeCell ref="B18:D18"/>
    <mergeCell ref="B20:D20"/>
    <mergeCell ref="B22:D22"/>
    <mergeCell ref="B21:D21"/>
    <mergeCell ref="B34:N34"/>
    <mergeCell ref="B30:D30"/>
    <mergeCell ref="B31:D31"/>
    <mergeCell ref="B28:D28"/>
    <mergeCell ref="B29:D29"/>
    <mergeCell ref="B23:D23"/>
    <mergeCell ref="B26:D26"/>
    <mergeCell ref="B27:D27"/>
    <mergeCell ref="B25:D25"/>
    <mergeCell ref="B24:D24"/>
    <mergeCell ref="B6:N6"/>
    <mergeCell ref="B16:D16"/>
    <mergeCell ref="B17:D17"/>
    <mergeCell ref="F10:H10"/>
    <mergeCell ref="B14:N14"/>
    <mergeCell ref="B12:N13"/>
  </mergeCells>
  <phoneticPr fontId="0" type="noConversion"/>
  <dataValidations count="1">
    <dataValidation type="list" allowBlank="1" showInputMessage="1" showErrorMessage="1" sqref="J31:K31" xr:uid="{00000000-0002-0000-0000-000000000000}">
      <formula1>$B$37:$B$38</formula1>
    </dataValidation>
  </dataValidation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B1:L51"/>
  <sheetViews>
    <sheetView workbookViewId="0">
      <selection activeCell="B18" sqref="B18"/>
    </sheetView>
  </sheetViews>
  <sheetFormatPr defaultColWidth="0" defaultRowHeight="12.75" zeroHeight="1" x14ac:dyDescent="0.2"/>
  <cols>
    <col min="1" max="11" width="9.140625" style="2" customWidth="1"/>
    <col min="12" max="16384" width="0" style="2" hidden="1"/>
  </cols>
  <sheetData>
    <row r="1" spans="2:12" x14ac:dyDescent="0.2"/>
    <row r="2" spans="2:12" x14ac:dyDescent="0.2"/>
    <row r="3" spans="2:12" x14ac:dyDescent="0.2"/>
    <row r="4" spans="2:12" x14ac:dyDescent="0.2"/>
    <row r="5" spans="2:12" x14ac:dyDescent="0.2"/>
    <row r="6" spans="2:12" ht="15.75" x14ac:dyDescent="0.25">
      <c r="B6" s="8" t="s">
        <v>161</v>
      </c>
      <c r="C6" s="9"/>
      <c r="D6" s="9"/>
      <c r="E6" s="9"/>
      <c r="F6" s="9"/>
      <c r="G6" s="9"/>
      <c r="H6" s="9"/>
      <c r="I6" s="9"/>
      <c r="J6" s="9"/>
      <c r="K6" s="17"/>
      <c r="L6" s="17"/>
    </row>
    <row r="7" spans="2:12" x14ac:dyDescent="0.2"/>
    <row r="8" spans="2:12" x14ac:dyDescent="0.2">
      <c r="B8" s="281" t="s">
        <v>49</v>
      </c>
      <c r="C8" s="281"/>
      <c r="D8" s="281"/>
      <c r="E8" s="281"/>
      <c r="F8" s="281"/>
      <c r="G8" s="281"/>
      <c r="H8" s="281"/>
      <c r="I8" s="281"/>
      <c r="J8" s="281"/>
    </row>
    <row r="9" spans="2:12" x14ac:dyDescent="0.2">
      <c r="B9" s="281"/>
      <c r="C9" s="281"/>
      <c r="D9" s="281"/>
      <c r="E9" s="281"/>
      <c r="F9" s="281"/>
      <c r="G9" s="281"/>
      <c r="H9" s="281"/>
      <c r="I9" s="281"/>
      <c r="J9" s="281"/>
    </row>
    <row r="10" spans="2:12" ht="20.25" customHeight="1" x14ac:dyDescent="0.2">
      <c r="B10" s="281" t="s">
        <v>50</v>
      </c>
      <c r="C10" s="281"/>
      <c r="D10" s="281"/>
      <c r="E10" s="281"/>
      <c r="F10" s="281"/>
      <c r="G10" s="281"/>
      <c r="H10" s="281"/>
      <c r="I10" s="281"/>
      <c r="J10" s="281"/>
    </row>
    <row r="11" spans="2:12" ht="20.25" customHeight="1" x14ac:dyDescent="0.2">
      <c r="B11" s="281"/>
      <c r="C11" s="281"/>
      <c r="D11" s="281"/>
      <c r="E11" s="281"/>
      <c r="F11" s="281"/>
      <c r="G11" s="281"/>
      <c r="H11" s="281"/>
      <c r="I11" s="281"/>
      <c r="J11" s="281"/>
    </row>
    <row r="12" spans="2:12" x14ac:dyDescent="0.2">
      <c r="B12" s="306" t="s">
        <v>48</v>
      </c>
      <c r="C12" s="281"/>
      <c r="D12" s="281"/>
      <c r="E12" s="281"/>
      <c r="F12" s="281"/>
      <c r="G12" s="281"/>
      <c r="H12" s="281"/>
      <c r="I12" s="281"/>
      <c r="J12" s="281"/>
    </row>
    <row r="13" spans="2:12" x14ac:dyDescent="0.2">
      <c r="B13" s="281"/>
      <c r="C13" s="281"/>
      <c r="D13" s="281"/>
      <c r="E13" s="281"/>
      <c r="F13" s="281"/>
      <c r="G13" s="281"/>
      <c r="H13" s="281"/>
      <c r="I13" s="281"/>
      <c r="J13" s="281"/>
    </row>
    <row r="14" spans="2:12" x14ac:dyDescent="0.2">
      <c r="B14" s="281"/>
      <c r="C14" s="281"/>
      <c r="D14" s="281"/>
      <c r="E14" s="281"/>
      <c r="F14" s="281"/>
      <c r="G14" s="281"/>
      <c r="H14" s="281"/>
      <c r="I14" s="281"/>
      <c r="J14" s="281"/>
    </row>
    <row r="15" spans="2:12" x14ac:dyDescent="0.2">
      <c r="B15" s="20"/>
      <c r="C15" s="20"/>
      <c r="D15" s="20"/>
      <c r="E15" s="20"/>
      <c r="F15" s="20"/>
      <c r="G15" s="20"/>
      <c r="H15" s="20"/>
      <c r="I15" s="20"/>
      <c r="J15" s="20"/>
    </row>
    <row r="16" spans="2:12" x14ac:dyDescent="0.2"/>
    <row r="17" spans="2:5" ht="15" customHeight="1" x14ac:dyDescent="0.2">
      <c r="B17" s="21" t="s">
        <v>43</v>
      </c>
      <c r="C17" s="307" t="s">
        <v>44</v>
      </c>
      <c r="D17" s="307"/>
      <c r="E17" s="307"/>
    </row>
    <row r="18" spans="2:5" ht="15" customHeight="1" x14ac:dyDescent="0.2">
      <c r="B18" s="22" t="s">
        <v>23</v>
      </c>
      <c r="C18" s="308" t="s">
        <v>45</v>
      </c>
      <c r="D18" s="309"/>
      <c r="E18" s="310"/>
    </row>
    <row r="19" spans="2:5" ht="15" customHeight="1" x14ac:dyDescent="0.2">
      <c r="B19" s="22" t="s">
        <v>64</v>
      </c>
      <c r="C19" s="311" t="s">
        <v>171</v>
      </c>
      <c r="D19" s="309"/>
      <c r="E19" s="310"/>
    </row>
    <row r="20" spans="2:5" ht="15" customHeight="1" x14ac:dyDescent="0.2">
      <c r="B20" s="22" t="s">
        <v>170</v>
      </c>
      <c r="C20" s="311" t="s">
        <v>172</v>
      </c>
      <c r="D20" s="309"/>
      <c r="E20" s="310"/>
    </row>
    <row r="21" spans="2:5" ht="15" customHeight="1" x14ac:dyDescent="0.2">
      <c r="B21" s="22" t="s">
        <v>180</v>
      </c>
      <c r="C21" s="311" t="s">
        <v>182</v>
      </c>
      <c r="D21" s="309"/>
      <c r="E21" s="310"/>
    </row>
    <row r="22" spans="2:5" ht="15" customHeight="1" x14ac:dyDescent="0.2">
      <c r="B22" s="18" t="s">
        <v>189</v>
      </c>
      <c r="C22" s="287" t="s">
        <v>56</v>
      </c>
      <c r="D22" s="288"/>
      <c r="E22" s="289"/>
    </row>
    <row r="23" spans="2:5" ht="15" customHeight="1" x14ac:dyDescent="0.2">
      <c r="B23" s="18" t="s">
        <v>57</v>
      </c>
      <c r="C23" s="297" t="s">
        <v>167</v>
      </c>
      <c r="D23" s="288"/>
      <c r="E23" s="289"/>
    </row>
    <row r="24" spans="2:5" ht="15" customHeight="1" x14ac:dyDescent="0.2">
      <c r="B24" s="18" t="s">
        <v>70</v>
      </c>
      <c r="C24" s="297" t="s">
        <v>168</v>
      </c>
      <c r="D24" s="288"/>
      <c r="E24" s="289"/>
    </row>
    <row r="25" spans="2:5" ht="15" customHeight="1" x14ac:dyDescent="0.2">
      <c r="B25" s="18" t="s">
        <v>58</v>
      </c>
      <c r="C25" s="301" t="s">
        <v>59</v>
      </c>
      <c r="D25" s="302"/>
      <c r="E25" s="303"/>
    </row>
    <row r="26" spans="2:5" ht="15" customHeight="1" x14ac:dyDescent="0.2">
      <c r="B26" s="18" t="s">
        <v>98</v>
      </c>
      <c r="C26" s="301" t="s">
        <v>99</v>
      </c>
      <c r="D26" s="302"/>
      <c r="E26" s="303"/>
    </row>
    <row r="27" spans="2:5" ht="15" customHeight="1" x14ac:dyDescent="0.2">
      <c r="B27" s="18" t="s">
        <v>60</v>
      </c>
      <c r="C27" s="301" t="s">
        <v>61</v>
      </c>
      <c r="D27" s="302"/>
      <c r="E27" s="303"/>
    </row>
    <row r="28" spans="2:5" ht="15" customHeight="1" x14ac:dyDescent="0.2">
      <c r="B28" s="18" t="s">
        <v>21</v>
      </c>
      <c r="C28" s="287" t="s">
        <v>46</v>
      </c>
      <c r="D28" s="288"/>
      <c r="E28" s="289"/>
    </row>
    <row r="29" spans="2:5" ht="15" customHeight="1" x14ac:dyDescent="0.2">
      <c r="B29" s="18" t="s">
        <v>190</v>
      </c>
      <c r="C29" s="301" t="s">
        <v>67</v>
      </c>
      <c r="D29" s="304"/>
      <c r="E29" s="305"/>
    </row>
    <row r="30" spans="2:5" ht="15" customHeight="1" x14ac:dyDescent="0.2">
      <c r="B30" s="18" t="s">
        <v>65</v>
      </c>
      <c r="C30" s="301" t="s">
        <v>66</v>
      </c>
      <c r="D30" s="304"/>
      <c r="E30" s="305"/>
    </row>
    <row r="31" spans="2:5" ht="15" customHeight="1" x14ac:dyDescent="0.2">
      <c r="B31" s="18" t="s">
        <v>77</v>
      </c>
      <c r="C31" s="301" t="s">
        <v>78</v>
      </c>
      <c r="D31" s="304"/>
      <c r="E31" s="305"/>
    </row>
    <row r="32" spans="2:5" ht="15" customHeight="1" x14ac:dyDescent="0.2">
      <c r="B32" s="18" t="s">
        <v>79</v>
      </c>
      <c r="C32" s="287" t="s">
        <v>80</v>
      </c>
      <c r="D32" s="288"/>
      <c r="E32" s="289"/>
    </row>
    <row r="33" spans="2:12" ht="15" customHeight="1" x14ac:dyDescent="0.2">
      <c r="B33" s="18" t="s">
        <v>62</v>
      </c>
      <c r="C33" s="287" t="s">
        <v>63</v>
      </c>
      <c r="D33" s="288"/>
      <c r="E33" s="289"/>
      <c r="F33" s="25"/>
      <c r="G33" s="293"/>
      <c r="H33" s="293"/>
      <c r="I33" s="293"/>
    </row>
    <row r="34" spans="2:12" ht="15" customHeight="1" x14ac:dyDescent="0.2">
      <c r="B34" s="18" t="s">
        <v>27</v>
      </c>
      <c r="C34" s="287" t="s">
        <v>29</v>
      </c>
      <c r="D34" s="288"/>
      <c r="E34" s="289"/>
      <c r="F34" s="293"/>
      <c r="G34" s="293"/>
      <c r="H34" s="293"/>
      <c r="I34" s="25"/>
    </row>
    <row r="35" spans="2:12" ht="15" customHeight="1" x14ac:dyDescent="0.2">
      <c r="B35" s="18" t="s">
        <v>140</v>
      </c>
      <c r="C35" s="287" t="s">
        <v>141</v>
      </c>
      <c r="D35" s="288"/>
      <c r="E35" s="289"/>
      <c r="F35" s="294" t="s">
        <v>143</v>
      </c>
      <c r="G35" s="295"/>
      <c r="H35" s="295"/>
      <c r="I35" s="295"/>
      <c r="J35" s="295"/>
      <c r="K35" s="295"/>
    </row>
    <row r="36" spans="2:12" ht="15" customHeight="1" x14ac:dyDescent="0.2">
      <c r="B36" s="18" t="s">
        <v>175</v>
      </c>
      <c r="C36" s="296" t="s">
        <v>186</v>
      </c>
      <c r="D36" s="296"/>
      <c r="E36" s="296"/>
      <c r="F36" s="26"/>
      <c r="G36" s="218"/>
      <c r="H36" s="218"/>
      <c r="I36" s="218"/>
      <c r="J36" s="218"/>
      <c r="K36" s="218"/>
    </row>
    <row r="37" spans="2:12" ht="15" customHeight="1" x14ac:dyDescent="0.2">
      <c r="B37" s="18" t="s">
        <v>176</v>
      </c>
      <c r="C37" s="290" t="s">
        <v>177</v>
      </c>
      <c r="D37" s="291"/>
      <c r="E37" s="292"/>
    </row>
    <row r="38" spans="2:12" ht="15" customHeight="1" x14ac:dyDescent="0.2">
      <c r="B38" s="18" t="s">
        <v>181</v>
      </c>
      <c r="C38" s="290" t="s">
        <v>183</v>
      </c>
      <c r="D38" s="291"/>
      <c r="E38" s="292"/>
    </row>
    <row r="39" spans="2:12" ht="15" customHeight="1" x14ac:dyDescent="0.2">
      <c r="B39" s="18" t="s">
        <v>28</v>
      </c>
      <c r="C39" s="298" t="s">
        <v>47</v>
      </c>
      <c r="D39" s="299"/>
      <c r="E39" s="300"/>
    </row>
    <row r="40" spans="2:12" x14ac:dyDescent="0.2">
      <c r="B40" s="25"/>
      <c r="C40" s="26"/>
      <c r="D40" s="26"/>
      <c r="E40" s="26"/>
    </row>
    <row r="41" spans="2:12" ht="12.75" customHeight="1" x14ac:dyDescent="0.2">
      <c r="B41" s="286" t="s">
        <v>51</v>
      </c>
      <c r="C41" s="286"/>
      <c r="D41" s="286"/>
      <c r="E41" s="286"/>
      <c r="F41" s="286"/>
      <c r="G41" s="286"/>
      <c r="H41" s="286"/>
      <c r="I41" s="286"/>
      <c r="J41" s="286"/>
    </row>
    <row r="42" spans="2:12" x14ac:dyDescent="0.2">
      <c r="B42" s="286"/>
      <c r="C42" s="286"/>
      <c r="D42" s="286"/>
      <c r="E42" s="286"/>
      <c r="F42" s="286"/>
      <c r="G42" s="286"/>
      <c r="H42" s="286"/>
      <c r="I42" s="286"/>
      <c r="J42" s="286"/>
    </row>
    <row r="43" spans="2:12" ht="16.5" customHeight="1" x14ac:dyDescent="0.2">
      <c r="B43" s="286"/>
      <c r="C43" s="286"/>
      <c r="D43" s="286"/>
      <c r="E43" s="286"/>
      <c r="F43" s="286"/>
      <c r="G43" s="286"/>
      <c r="H43" s="286"/>
      <c r="I43" s="286"/>
      <c r="J43" s="286"/>
    </row>
    <row r="44" spans="2:12" x14ac:dyDescent="0.2"/>
    <row r="45" spans="2:12" x14ac:dyDescent="0.2">
      <c r="B45" s="276" t="s">
        <v>159</v>
      </c>
      <c r="C45" s="276"/>
      <c r="D45" s="276"/>
      <c r="E45" s="276"/>
      <c r="F45" s="276"/>
      <c r="G45" s="276"/>
      <c r="H45" s="276"/>
      <c r="I45" s="276"/>
      <c r="J45" s="276"/>
      <c r="K45" s="19"/>
      <c r="L45" s="19"/>
    </row>
    <row r="46" spans="2:12" x14ac:dyDescent="0.2">
      <c r="B46"/>
    </row>
    <row r="47" spans="2:12" x14ac:dyDescent="0.2"/>
    <row r="48" spans="2:12" x14ac:dyDescent="0.2"/>
    <row r="49" x14ac:dyDescent="0.2"/>
    <row r="50" x14ac:dyDescent="0.2"/>
    <row r="51" x14ac:dyDescent="0.2"/>
  </sheetData>
  <sheetProtection algorithmName="SHA-512" hashValue="be1bbHoIvJQgSnbScgYR+e/TeUCb1NNsfkxhPiAfyIlmxnxghC55iP/ZYYa88EB1O9h69gw6/R8HJ7fpopj4hg==" saltValue="8DZ/oXe0mjONkvlJG8XcPw==" spinCount="100000" sheet="1" objects="1" scenarios="1"/>
  <mergeCells count="31">
    <mergeCell ref="B8:J9"/>
    <mergeCell ref="B10:J11"/>
    <mergeCell ref="B12:J14"/>
    <mergeCell ref="C17:E17"/>
    <mergeCell ref="C23:E23"/>
    <mergeCell ref="C18:E18"/>
    <mergeCell ref="C20:E20"/>
    <mergeCell ref="C21:E21"/>
    <mergeCell ref="C22:E22"/>
    <mergeCell ref="C19:E19"/>
    <mergeCell ref="C24:E24"/>
    <mergeCell ref="C39:E39"/>
    <mergeCell ref="C34:E34"/>
    <mergeCell ref="C35:E35"/>
    <mergeCell ref="C27:E27"/>
    <mergeCell ref="C28:E28"/>
    <mergeCell ref="C25:E25"/>
    <mergeCell ref="C26:E26"/>
    <mergeCell ref="C29:E29"/>
    <mergeCell ref="C30:E30"/>
    <mergeCell ref="C31:E31"/>
    <mergeCell ref="C32:E32"/>
    <mergeCell ref="B45:J45"/>
    <mergeCell ref="B41:J43"/>
    <mergeCell ref="C33:E33"/>
    <mergeCell ref="C38:E38"/>
    <mergeCell ref="C37:E37"/>
    <mergeCell ref="F34:H34"/>
    <mergeCell ref="G33:I33"/>
    <mergeCell ref="F35:K35"/>
    <mergeCell ref="C36:E36"/>
  </mergeCells>
  <phoneticPr fontId="17" type="noConversion"/>
  <pageMargins left="0.25" right="0.25" top="0.75" bottom="0.75" header="0.3" footer="0.3"/>
  <pageSetup paperSize="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>
    <pageSetUpPr fitToPage="1"/>
  </sheetPr>
  <dimension ref="A1:JG755"/>
  <sheetViews>
    <sheetView showGridLines="0" showZeros="0" topLeftCell="C1" zoomScaleNormal="100" zoomScalePageLayoutView="75" workbookViewId="0">
      <selection activeCell="BD37" sqref="BD37"/>
    </sheetView>
  </sheetViews>
  <sheetFormatPr defaultColWidth="0" defaultRowHeight="12.75" zeroHeight="1" x14ac:dyDescent="0.2"/>
  <cols>
    <col min="1" max="2" width="1.42578125" style="1" hidden="1" customWidth="1"/>
    <col min="3" max="3" width="12" style="1" customWidth="1"/>
    <col min="4" max="47" width="3.28515625" style="1" customWidth="1"/>
    <col min="48" max="48" width="8.28515625" style="1" customWidth="1"/>
    <col min="49" max="52" width="5.42578125" style="1" customWidth="1"/>
    <col min="53" max="53" width="6.42578125" style="1" customWidth="1"/>
    <col min="54" max="56" width="5.42578125" style="1" customWidth="1"/>
    <col min="57" max="57" width="11.140625" style="1" customWidth="1"/>
    <col min="58" max="58" width="5.42578125" style="1" customWidth="1"/>
    <col min="59" max="60" width="8.28515625" style="1" customWidth="1"/>
    <col min="61" max="61" width="13.42578125" style="1" bestFit="1" customWidth="1"/>
    <col min="62" max="62" width="10.28515625" style="1" hidden="1" customWidth="1"/>
    <col min="63" max="63" width="8.28515625" style="1" hidden="1" customWidth="1"/>
    <col min="64" max="68" width="9.140625" hidden="1" customWidth="1"/>
    <col min="69" max="243" width="9.140625" style="1" hidden="1" customWidth="1"/>
    <col min="244" max="245" width="8.28515625" style="1" hidden="1" customWidth="1"/>
    <col min="246" max="246" width="9.140625" style="1" hidden="1" customWidth="1"/>
    <col min="247" max="264" width="8.85546875" style="1" hidden="1" customWidth="1"/>
    <col min="265" max="267" width="0" style="1" hidden="1" customWidth="1"/>
    <col min="268" max="16384" width="8.85546875" style="1" hidden="1"/>
  </cols>
  <sheetData>
    <row r="1" spans="1:68" ht="16.350000000000001" customHeight="1" x14ac:dyDescent="0.2">
      <c r="C1" s="92" t="s">
        <v>0</v>
      </c>
      <c r="E1" s="371" t="s">
        <v>1</v>
      </c>
      <c r="F1" s="372"/>
      <c r="G1" s="372"/>
      <c r="H1" s="372"/>
      <c r="I1" s="372"/>
      <c r="J1" s="372"/>
      <c r="L1" s="378" t="s">
        <v>2</v>
      </c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92"/>
      <c r="AJ1" s="92"/>
      <c r="AK1" s="92"/>
      <c r="AL1" s="92"/>
      <c r="AM1" s="92"/>
      <c r="AW1"/>
      <c r="BL1" s="1"/>
      <c r="BM1" s="1"/>
      <c r="BN1" s="1"/>
      <c r="BO1" s="1"/>
      <c r="BP1" s="1"/>
    </row>
    <row r="2" spans="1:68" ht="25.35" customHeight="1" x14ac:dyDescent="0.2">
      <c r="C2" s="27">
        <f>Anno</f>
        <v>2025</v>
      </c>
      <c r="E2" s="375"/>
      <c r="F2" s="376"/>
      <c r="G2" s="376"/>
      <c r="H2" s="376"/>
      <c r="I2" s="376"/>
      <c r="J2" s="377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  <c r="AE2" s="381"/>
      <c r="AF2" s="381"/>
      <c r="AG2" s="381"/>
      <c r="AH2" s="381"/>
      <c r="AI2" s="382"/>
      <c r="AJ2" s="219"/>
      <c r="AK2" s="219"/>
      <c r="AL2" s="219"/>
      <c r="AM2" s="219"/>
      <c r="BC2"/>
      <c r="BL2" s="1"/>
      <c r="BM2" s="1"/>
      <c r="BN2" s="1"/>
      <c r="BO2" s="1"/>
      <c r="BP2" s="1"/>
    </row>
    <row r="3" spans="1:68" ht="6" customHeight="1" x14ac:dyDescent="0.2">
      <c r="BL3" s="1"/>
      <c r="BM3" s="1"/>
      <c r="BN3" s="1"/>
    </row>
    <row r="4" spans="1:68" ht="20.100000000000001" customHeight="1" x14ac:dyDescent="0.2">
      <c r="E4" s="385" t="s">
        <v>19</v>
      </c>
      <c r="F4" s="386"/>
      <c r="G4" s="386"/>
      <c r="H4" s="386"/>
      <c r="I4" s="386"/>
      <c r="J4" s="386"/>
      <c r="K4" s="386"/>
      <c r="L4" s="386"/>
      <c r="M4" s="402" t="s">
        <v>18</v>
      </c>
      <c r="N4" s="403"/>
      <c r="O4" s="403"/>
      <c r="P4" s="403"/>
      <c r="Q4" s="403"/>
      <c r="R4" s="403"/>
      <c r="S4" s="403"/>
      <c r="T4" s="403"/>
      <c r="U4" s="403"/>
      <c r="V4" s="403"/>
      <c r="W4" s="403"/>
      <c r="X4" s="403"/>
      <c r="Y4" s="403"/>
      <c r="Z4" s="403"/>
      <c r="AA4" s="403"/>
      <c r="AB4" s="403"/>
      <c r="AC4" s="403"/>
      <c r="AD4" s="403"/>
      <c r="AE4" s="403"/>
      <c r="AF4" s="404"/>
      <c r="BL4" s="1"/>
      <c r="BM4" s="1"/>
      <c r="BN4" s="1"/>
    </row>
    <row r="5" spans="1:68" ht="20.100000000000001" customHeight="1" x14ac:dyDescent="0.2">
      <c r="E5" s="379" t="s">
        <v>15</v>
      </c>
      <c r="F5" s="380"/>
      <c r="G5" s="380"/>
      <c r="H5" s="380"/>
      <c r="I5" s="383" t="s">
        <v>17</v>
      </c>
      <c r="J5" s="384"/>
      <c r="K5" s="384"/>
      <c r="L5" s="384"/>
      <c r="M5" s="387" t="s">
        <v>20</v>
      </c>
      <c r="N5" s="388"/>
      <c r="O5" s="388"/>
      <c r="P5" s="388"/>
      <c r="Q5" s="389" t="s">
        <v>16</v>
      </c>
      <c r="R5" s="390"/>
      <c r="S5" s="390"/>
      <c r="T5" s="391"/>
      <c r="U5" s="417" t="s">
        <v>81</v>
      </c>
      <c r="V5" s="418"/>
      <c r="W5" s="418"/>
      <c r="X5" s="417" t="s">
        <v>83</v>
      </c>
      <c r="Y5" s="418"/>
      <c r="Z5" s="418"/>
      <c r="AA5" s="411" t="s">
        <v>82</v>
      </c>
      <c r="AB5" s="412"/>
      <c r="AC5" s="413"/>
      <c r="AD5" s="405" t="s">
        <v>84</v>
      </c>
      <c r="AE5" s="406"/>
      <c r="AF5" s="407"/>
      <c r="AW5" s="438" t="s">
        <v>97</v>
      </c>
      <c r="AX5" s="438"/>
      <c r="AY5" s="438"/>
      <c r="AZ5" s="438"/>
      <c r="BA5" s="438"/>
      <c r="BB5" s="438"/>
      <c r="BC5" s="438"/>
      <c r="BD5" s="438"/>
      <c r="BE5" s="438"/>
      <c r="BF5" s="438"/>
      <c r="BG5" s="438"/>
      <c r="BH5" s="438"/>
      <c r="BL5" s="1"/>
      <c r="BM5" s="1"/>
      <c r="BN5" s="1"/>
    </row>
    <row r="6" spans="1:68" ht="20.100000000000001" customHeight="1" x14ac:dyDescent="0.2">
      <c r="C6" s="95"/>
      <c r="D6" s="95"/>
      <c r="E6" s="373"/>
      <c r="F6" s="373"/>
      <c r="G6" s="373"/>
      <c r="H6" s="373"/>
      <c r="I6" s="374">
        <f>E6-F38</f>
        <v>0</v>
      </c>
      <c r="J6" s="374"/>
      <c r="K6" s="374"/>
      <c r="L6" s="374"/>
      <c r="M6" s="373">
        <v>25</v>
      </c>
      <c r="N6" s="373"/>
      <c r="O6" s="373"/>
      <c r="P6" s="373"/>
      <c r="Q6" s="374">
        <f>M6-H38</f>
        <v>25</v>
      </c>
      <c r="R6" s="374"/>
      <c r="S6" s="374"/>
      <c r="T6" s="374"/>
      <c r="U6" s="419">
        <v>4</v>
      </c>
      <c r="V6" s="420"/>
      <c r="W6" s="420"/>
      <c r="X6" s="421">
        <f>U6-AD38</f>
        <v>4</v>
      </c>
      <c r="Y6" s="422"/>
      <c r="Z6" s="422"/>
      <c r="AA6" s="414">
        <v>3</v>
      </c>
      <c r="AB6" s="415"/>
      <c r="AC6" s="416"/>
      <c r="AD6" s="408">
        <f>AA6-AB38</f>
        <v>3</v>
      </c>
      <c r="AE6" s="409"/>
      <c r="AF6" s="410"/>
      <c r="AW6" s="438"/>
      <c r="AX6" s="438"/>
      <c r="AY6" s="438"/>
      <c r="AZ6" s="438"/>
      <c r="BA6" s="438"/>
      <c r="BB6" s="438"/>
      <c r="BC6" s="438"/>
      <c r="BD6" s="438"/>
      <c r="BE6" s="438"/>
      <c r="BF6" s="438"/>
      <c r="BG6" s="438"/>
      <c r="BH6" s="438"/>
      <c r="BL6" s="1"/>
      <c r="BM6" s="1"/>
      <c r="BN6" s="1"/>
    </row>
    <row r="7" spans="1:68" ht="6" customHeight="1" x14ac:dyDescent="0.2">
      <c r="AW7" s="438"/>
      <c r="AX7" s="438"/>
      <c r="AY7" s="438"/>
      <c r="AZ7" s="438"/>
      <c r="BA7" s="438"/>
      <c r="BB7" s="438"/>
      <c r="BC7" s="438"/>
      <c r="BD7" s="438"/>
      <c r="BE7" s="438"/>
      <c r="BF7" s="438"/>
      <c r="BG7" s="438"/>
      <c r="BH7" s="438"/>
      <c r="BL7" s="1"/>
      <c r="BM7" s="1"/>
      <c r="BN7" s="1"/>
    </row>
    <row r="8" spans="1:68" ht="20.100000000000001" customHeight="1" x14ac:dyDescent="0.2">
      <c r="D8" s="96">
        <v>1</v>
      </c>
      <c r="E8" s="96">
        <v>2</v>
      </c>
      <c r="F8" s="96">
        <v>3</v>
      </c>
      <c r="G8" s="96">
        <v>4</v>
      </c>
      <c r="H8" s="97">
        <v>5</v>
      </c>
      <c r="I8" s="98">
        <v>6</v>
      </c>
      <c r="J8" s="96">
        <v>7</v>
      </c>
      <c r="K8" s="96">
        <v>8</v>
      </c>
      <c r="L8" s="96">
        <v>9</v>
      </c>
      <c r="M8" s="97">
        <v>10</v>
      </c>
      <c r="N8" s="98">
        <v>11</v>
      </c>
      <c r="O8" s="96">
        <v>12</v>
      </c>
      <c r="P8" s="96">
        <v>13</v>
      </c>
      <c r="Q8" s="96">
        <v>14</v>
      </c>
      <c r="R8" s="97">
        <v>15</v>
      </c>
      <c r="S8" s="98">
        <v>16</v>
      </c>
      <c r="T8" s="96">
        <v>17</v>
      </c>
      <c r="U8" s="96">
        <v>18</v>
      </c>
      <c r="V8" s="96">
        <v>19</v>
      </c>
      <c r="W8" s="97">
        <v>20</v>
      </c>
      <c r="X8" s="98">
        <v>21</v>
      </c>
      <c r="Y8" s="96">
        <v>22</v>
      </c>
      <c r="Z8" s="96">
        <v>23</v>
      </c>
      <c r="AA8" s="96">
        <v>24</v>
      </c>
      <c r="AB8" s="97">
        <v>25</v>
      </c>
      <c r="AC8" s="98">
        <v>26</v>
      </c>
      <c r="AD8" s="96">
        <v>27</v>
      </c>
      <c r="AE8" s="96">
        <v>28</v>
      </c>
      <c r="AF8" s="96">
        <v>29</v>
      </c>
      <c r="AG8" s="97">
        <v>30</v>
      </c>
      <c r="AH8" s="98">
        <v>31</v>
      </c>
      <c r="AI8" s="3"/>
      <c r="AJ8" s="3"/>
      <c r="AK8" s="3"/>
      <c r="AL8" s="3"/>
      <c r="AM8" s="3"/>
      <c r="AW8" s="447"/>
      <c r="AX8" s="447"/>
      <c r="AY8" s="439" t="s">
        <v>121</v>
      </c>
      <c r="AZ8" s="439"/>
      <c r="BA8" s="440" t="s">
        <v>123</v>
      </c>
      <c r="BB8" s="441"/>
      <c r="BC8" s="446" t="s">
        <v>124</v>
      </c>
      <c r="BD8" s="439"/>
      <c r="BE8" s="439" t="s">
        <v>125</v>
      </c>
      <c r="BF8" s="439"/>
      <c r="BG8" s="439" t="s">
        <v>133</v>
      </c>
      <c r="BH8" s="439"/>
      <c r="BL8" s="1"/>
      <c r="BM8" s="1"/>
      <c r="BN8" s="1"/>
    </row>
    <row r="9" spans="1:68" ht="18" customHeight="1" x14ac:dyDescent="0.2">
      <c r="A9" s="99">
        <v>1</v>
      </c>
      <c r="B9" s="99">
        <v>1</v>
      </c>
      <c r="C9" s="100" t="s">
        <v>3</v>
      </c>
      <c r="D9" s="101">
        <f>Diario!E4</f>
        <v>0</v>
      </c>
      <c r="E9" s="102">
        <f>Diario!E5</f>
        <v>0</v>
      </c>
      <c r="F9" s="102">
        <f>Diario!E6</f>
        <v>0</v>
      </c>
      <c r="G9" s="102">
        <f>Diario!E7</f>
        <v>0</v>
      </c>
      <c r="H9" s="102">
        <f>Diario!E8</f>
        <v>0</v>
      </c>
      <c r="I9" s="101">
        <f>Diario!E9</f>
        <v>0</v>
      </c>
      <c r="J9" s="101">
        <f>Diario!E10</f>
        <v>0</v>
      </c>
      <c r="K9" s="101">
        <f>Diario!E11</f>
        <v>0</v>
      </c>
      <c r="L9" s="101">
        <f>Diario!E12</f>
        <v>0</v>
      </c>
      <c r="M9" s="102">
        <f>Diario!E13</f>
        <v>0</v>
      </c>
      <c r="N9" s="102">
        <f>Diario!E14</f>
        <v>0</v>
      </c>
      <c r="O9" s="101">
        <f>Diario!E15</f>
        <v>0</v>
      </c>
      <c r="P9" s="101">
        <f>Diario!E16</f>
        <v>0</v>
      </c>
      <c r="Q9" s="101">
        <f>Diario!E17</f>
        <v>0</v>
      </c>
      <c r="R9" s="101">
        <f>Diario!E18</f>
        <v>0</v>
      </c>
      <c r="S9" s="101">
        <f>Diario!E19</f>
        <v>0</v>
      </c>
      <c r="T9" s="101">
        <f>Diario!E20</f>
        <v>0</v>
      </c>
      <c r="U9" s="101">
        <f>Diario!E21</f>
        <v>0</v>
      </c>
      <c r="V9" s="101">
        <f>Diario!E22</f>
        <v>0</v>
      </c>
      <c r="W9" s="101">
        <f>Diario!E23</f>
        <v>0</v>
      </c>
      <c r="X9" s="101">
        <f>Diario!E24</f>
        <v>0</v>
      </c>
      <c r="Y9" s="101">
        <f>Diario!E25</f>
        <v>0</v>
      </c>
      <c r="Z9" s="101">
        <f>Diario!E26</f>
        <v>0</v>
      </c>
      <c r="AA9" s="102">
        <f>Diario!E27</f>
        <v>0</v>
      </c>
      <c r="AB9" s="101">
        <f>Diario!E28</f>
        <v>0</v>
      </c>
      <c r="AC9" s="101">
        <f>Diario!E29</f>
        <v>0</v>
      </c>
      <c r="AD9" s="101">
        <f>Diario!E30</f>
        <v>0</v>
      </c>
      <c r="AE9" s="101">
        <f>Diario!E31</f>
        <v>0</v>
      </c>
      <c r="AF9" s="101">
        <f>Diario!E32</f>
        <v>0</v>
      </c>
      <c r="AG9" s="101">
        <f>Diario!E33</f>
        <v>0</v>
      </c>
      <c r="AH9" s="101">
        <f>Diario!E34</f>
        <v>0</v>
      </c>
      <c r="AI9" s="3"/>
      <c r="AJ9" s="3"/>
      <c r="AK9" s="3"/>
      <c r="AL9" s="3"/>
      <c r="AM9" s="3"/>
      <c r="AW9" s="431" t="s">
        <v>85</v>
      </c>
      <c r="AX9" s="431"/>
      <c r="AY9" s="429">
        <f t="shared" ref="AY9:AY20" si="0">COUNTIF(D9:AH9,"C")</f>
        <v>0</v>
      </c>
      <c r="AZ9" s="430"/>
      <c r="BA9" s="429">
        <f t="shared" ref="BA9:BA20" si="1">COUNTIF(D9:AH9,"CR")</f>
        <v>0</v>
      </c>
      <c r="BB9" s="430"/>
      <c r="BC9" s="448">
        <f t="shared" ref="BC9:BC20" si="2">COUNTIF(D9:AH9,"FS")</f>
        <v>0</v>
      </c>
      <c r="BD9" s="449"/>
      <c r="BE9" s="442">
        <f t="shared" ref="BE9:BE20" si="3">COUNTIF(D9:AH9,"PM")</f>
        <v>0</v>
      </c>
      <c r="BF9" s="443"/>
      <c r="BG9" s="462">
        <f t="shared" ref="BG9:BG20" si="4">AY9+BA9</f>
        <v>0</v>
      </c>
      <c r="BH9" s="464"/>
      <c r="BL9" s="1"/>
      <c r="BM9" s="1"/>
      <c r="BN9" s="1"/>
    </row>
    <row r="10" spans="1:68" ht="18" customHeight="1" x14ac:dyDescent="0.2">
      <c r="A10" s="99">
        <v>2</v>
      </c>
      <c r="B10" s="99">
        <v>2</v>
      </c>
      <c r="C10" s="94" t="s">
        <v>4</v>
      </c>
      <c r="D10" s="102">
        <f>Diario!E39</f>
        <v>0</v>
      </c>
      <c r="E10" s="102">
        <f>Diario!E40</f>
        <v>0</v>
      </c>
      <c r="F10" s="102">
        <f>Diario!E41</f>
        <v>0</v>
      </c>
      <c r="G10" s="102">
        <f>Diario!E42</f>
        <v>0</v>
      </c>
      <c r="H10" s="101">
        <f>Diario!E43</f>
        <v>0</v>
      </c>
      <c r="I10" s="101">
        <f>Diario!E44</f>
        <v>0</v>
      </c>
      <c r="J10" s="102">
        <f>Diario!E45</f>
        <v>0</v>
      </c>
      <c r="K10" s="102">
        <f>Diario!E46</f>
        <v>0</v>
      </c>
      <c r="L10" s="102">
        <f>Diario!E47</f>
        <v>0</v>
      </c>
      <c r="M10" s="102">
        <f>Diario!E48</f>
        <v>0</v>
      </c>
      <c r="N10" s="102">
        <f>Diario!E49</f>
        <v>0</v>
      </c>
      <c r="O10" s="101">
        <f>Diario!E50</f>
        <v>0</v>
      </c>
      <c r="P10" s="101">
        <f>Diario!E51</f>
        <v>0</v>
      </c>
      <c r="Q10" s="101">
        <f>Diario!E52</f>
        <v>0</v>
      </c>
      <c r="R10" s="101">
        <f>Diario!E53</f>
        <v>0</v>
      </c>
      <c r="S10" s="102">
        <f>Diario!E54</f>
        <v>0</v>
      </c>
      <c r="T10" s="101">
        <f>Diario!E55</f>
        <v>0</v>
      </c>
      <c r="U10" s="102">
        <f>Diario!E56</f>
        <v>0</v>
      </c>
      <c r="V10" s="101">
        <f>Diario!E57</f>
        <v>0</v>
      </c>
      <c r="W10" s="101">
        <f>Diario!E58</f>
        <v>0</v>
      </c>
      <c r="X10" s="101">
        <f>Diario!E59</f>
        <v>0</v>
      </c>
      <c r="Y10" s="101">
        <f>Diario!E60</f>
        <v>0</v>
      </c>
      <c r="Z10" s="101">
        <f>Diario!E61</f>
        <v>0</v>
      </c>
      <c r="AA10" s="101">
        <f>Diario!E62</f>
        <v>0</v>
      </c>
      <c r="AB10" s="101">
        <f>Diario!E63</f>
        <v>0</v>
      </c>
      <c r="AC10" s="101">
        <f>Diario!E64</f>
        <v>0</v>
      </c>
      <c r="AD10" s="101">
        <f>Diario!E65</f>
        <v>0</v>
      </c>
      <c r="AE10" s="101">
        <f>Diario!E66</f>
        <v>0</v>
      </c>
      <c r="AF10" s="101">
        <f>Diario!E67</f>
        <v>0</v>
      </c>
      <c r="AG10" s="33"/>
      <c r="AH10" s="34"/>
      <c r="AI10" s="3"/>
      <c r="AJ10" s="3"/>
      <c r="AK10" s="3"/>
      <c r="AL10" s="3"/>
      <c r="AM10" s="3"/>
      <c r="AW10" s="431" t="s">
        <v>86</v>
      </c>
      <c r="AX10" s="431"/>
      <c r="AY10" s="429">
        <f t="shared" si="0"/>
        <v>0</v>
      </c>
      <c r="AZ10" s="430"/>
      <c r="BA10" s="429">
        <f t="shared" si="1"/>
        <v>0</v>
      </c>
      <c r="BB10" s="430"/>
      <c r="BC10" s="448">
        <f t="shared" si="2"/>
        <v>0</v>
      </c>
      <c r="BD10" s="449"/>
      <c r="BE10" s="442">
        <f t="shared" si="3"/>
        <v>0</v>
      </c>
      <c r="BF10" s="443"/>
      <c r="BG10" s="462">
        <f t="shared" si="4"/>
        <v>0</v>
      </c>
      <c r="BH10" s="464"/>
      <c r="BM10" s="1"/>
      <c r="BN10" s="1"/>
      <c r="BO10" s="1"/>
      <c r="BP10" s="1"/>
    </row>
    <row r="11" spans="1:68" ht="18" customHeight="1" x14ac:dyDescent="0.2">
      <c r="A11" s="99">
        <v>3</v>
      </c>
      <c r="B11" s="99">
        <v>3</v>
      </c>
      <c r="C11" s="94" t="s">
        <v>5</v>
      </c>
      <c r="D11" s="102">
        <f>Diario!E74</f>
        <v>0</v>
      </c>
      <c r="E11" s="101">
        <f>Diario!E75</f>
        <v>0</v>
      </c>
      <c r="F11" s="102">
        <f>Diario!E76</f>
        <v>0</v>
      </c>
      <c r="G11" s="101">
        <f>Diario!E77</f>
        <v>0</v>
      </c>
      <c r="H11" s="101">
        <f>Diario!E78</f>
        <v>0</v>
      </c>
      <c r="I11" s="101">
        <f>Diario!E79</f>
        <v>0</v>
      </c>
      <c r="J11" s="101">
        <f>Diario!E80</f>
        <v>0</v>
      </c>
      <c r="K11" s="101">
        <f>Diario!E81</f>
        <v>0</v>
      </c>
      <c r="L11" s="101">
        <f>Diario!E82</f>
        <v>0</v>
      </c>
      <c r="M11" s="101">
        <f>Diario!E83</f>
        <v>0</v>
      </c>
      <c r="N11" s="101">
        <f>Diario!E84</f>
        <v>0</v>
      </c>
      <c r="O11" s="101">
        <f>Diario!E85</f>
        <v>0</v>
      </c>
      <c r="P11" s="101">
        <f>Diario!E86</f>
        <v>0</v>
      </c>
      <c r="Q11" s="101">
        <f>Diario!E87</f>
        <v>0</v>
      </c>
      <c r="R11" s="101">
        <f>Diario!E88</f>
        <v>0</v>
      </c>
      <c r="S11" s="101">
        <f>Diario!E89</f>
        <v>0</v>
      </c>
      <c r="T11" s="101">
        <f>Diario!E90</f>
        <v>0</v>
      </c>
      <c r="U11" s="101">
        <f>Diario!E91</f>
        <v>0</v>
      </c>
      <c r="V11" s="101">
        <f>Diario!E92</f>
        <v>0</v>
      </c>
      <c r="W11" s="101">
        <f>Diario!E93</f>
        <v>0</v>
      </c>
      <c r="X11" s="101">
        <f>Diario!E94</f>
        <v>0</v>
      </c>
      <c r="Y11" s="101">
        <f>Diario!E95</f>
        <v>0</v>
      </c>
      <c r="Z11" s="101">
        <f>Diario!E96</f>
        <v>0</v>
      </c>
      <c r="AA11" s="101">
        <f>Diario!E97</f>
        <v>0</v>
      </c>
      <c r="AB11" s="101">
        <f>Diario!E98</f>
        <v>0</v>
      </c>
      <c r="AC11" s="101">
        <f>Diario!E99</f>
        <v>0</v>
      </c>
      <c r="AD11" s="101">
        <f>Diario!E100</f>
        <v>0</v>
      </c>
      <c r="AE11" s="101">
        <f>Diario!E101</f>
        <v>0</v>
      </c>
      <c r="AF11" s="101">
        <f>Diario!E102</f>
        <v>0</v>
      </c>
      <c r="AG11" s="101">
        <f>Diario!E103</f>
        <v>0</v>
      </c>
      <c r="AH11" s="101">
        <f>Diario!E104</f>
        <v>0</v>
      </c>
      <c r="AI11" s="3"/>
      <c r="AJ11" s="3"/>
      <c r="AK11" s="3"/>
      <c r="AL11" s="3"/>
      <c r="AM11" s="3"/>
      <c r="AW11" s="431" t="s">
        <v>87</v>
      </c>
      <c r="AX11" s="431"/>
      <c r="AY11" s="429">
        <f t="shared" si="0"/>
        <v>0</v>
      </c>
      <c r="AZ11" s="430"/>
      <c r="BA11" s="429">
        <f t="shared" si="1"/>
        <v>0</v>
      </c>
      <c r="BB11" s="430"/>
      <c r="BC11" s="448">
        <f t="shared" si="2"/>
        <v>0</v>
      </c>
      <c r="BD11" s="449"/>
      <c r="BE11" s="442">
        <f t="shared" si="3"/>
        <v>0</v>
      </c>
      <c r="BF11" s="443"/>
      <c r="BG11" s="462">
        <f t="shared" si="4"/>
        <v>0</v>
      </c>
      <c r="BH11" s="464"/>
      <c r="BM11" s="1"/>
      <c r="BN11" s="1"/>
      <c r="BO11" s="1"/>
      <c r="BP11" s="1"/>
    </row>
    <row r="12" spans="1:68" ht="18" customHeight="1" x14ac:dyDescent="0.2">
      <c r="A12" s="99">
        <v>4</v>
      </c>
      <c r="B12" s="99">
        <v>4</v>
      </c>
      <c r="C12" s="94" t="s">
        <v>6</v>
      </c>
      <c r="D12" s="101">
        <f>Diario!E109</f>
        <v>0</v>
      </c>
      <c r="E12" s="101">
        <f>Diario!E110</f>
        <v>0</v>
      </c>
      <c r="F12" s="101">
        <f>Diario!E111</f>
        <v>0</v>
      </c>
      <c r="G12" s="102">
        <f>Diario!E112</f>
        <v>0</v>
      </c>
      <c r="H12" s="101">
        <f>Diario!E113</f>
        <v>0</v>
      </c>
      <c r="I12" s="101">
        <f>Diario!E114</f>
        <v>0</v>
      </c>
      <c r="J12" s="101">
        <f>Diario!E115</f>
        <v>0</v>
      </c>
      <c r="K12" s="101">
        <f>Diario!E116</f>
        <v>0</v>
      </c>
      <c r="L12" s="101">
        <f>Diario!E117</f>
        <v>0</v>
      </c>
      <c r="M12" s="101">
        <f>Diario!E118</f>
        <v>0</v>
      </c>
      <c r="N12" s="101">
        <f>Diario!E119</f>
        <v>0</v>
      </c>
      <c r="O12" s="101">
        <f>Diario!E120</f>
        <v>0</v>
      </c>
      <c r="P12" s="101">
        <f>Diario!E121</f>
        <v>0</v>
      </c>
      <c r="Q12" s="101">
        <f>Diario!E122</f>
        <v>0</v>
      </c>
      <c r="R12" s="101">
        <f>Diario!E123</f>
        <v>0</v>
      </c>
      <c r="S12" s="101">
        <f>Diario!E124</f>
        <v>0</v>
      </c>
      <c r="T12" s="101">
        <f>Diario!E125</f>
        <v>0</v>
      </c>
      <c r="U12" s="101">
        <f>Diario!E126</f>
        <v>0</v>
      </c>
      <c r="V12" s="101">
        <f>Diario!E127</f>
        <v>0</v>
      </c>
      <c r="W12" s="101">
        <f>Diario!E128</f>
        <v>0</v>
      </c>
      <c r="X12" s="101">
        <f>Diario!E129</f>
        <v>0</v>
      </c>
      <c r="Y12" s="101">
        <f>Diario!E130</f>
        <v>0</v>
      </c>
      <c r="Z12" s="101">
        <f>Diario!E131</f>
        <v>0</v>
      </c>
      <c r="AA12" s="101">
        <f>Diario!E132</f>
        <v>0</v>
      </c>
      <c r="AB12" s="101">
        <f>Diario!E133</f>
        <v>0</v>
      </c>
      <c r="AC12" s="101">
        <f>Diario!E134</f>
        <v>0</v>
      </c>
      <c r="AD12" s="101">
        <f>Diario!E135</f>
        <v>0</v>
      </c>
      <c r="AE12" s="101">
        <f>Diario!E136</f>
        <v>0</v>
      </c>
      <c r="AF12" s="101">
        <f>Diario!E137</f>
        <v>0</v>
      </c>
      <c r="AG12" s="101">
        <f>Diario!E138</f>
        <v>0</v>
      </c>
      <c r="AH12" s="34"/>
      <c r="AI12" s="3"/>
      <c r="AJ12" s="3"/>
      <c r="AK12" s="3"/>
      <c r="AL12" s="3"/>
      <c r="AM12" s="3"/>
      <c r="AW12" s="431" t="s">
        <v>88</v>
      </c>
      <c r="AX12" s="431"/>
      <c r="AY12" s="429">
        <f t="shared" si="0"/>
        <v>0</v>
      </c>
      <c r="AZ12" s="430"/>
      <c r="BA12" s="429">
        <f t="shared" si="1"/>
        <v>0</v>
      </c>
      <c r="BB12" s="430"/>
      <c r="BC12" s="448">
        <f t="shared" si="2"/>
        <v>0</v>
      </c>
      <c r="BD12" s="449"/>
      <c r="BE12" s="442">
        <f t="shared" si="3"/>
        <v>0</v>
      </c>
      <c r="BF12" s="443"/>
      <c r="BG12" s="462">
        <f t="shared" si="4"/>
        <v>0</v>
      </c>
      <c r="BH12" s="464"/>
      <c r="BM12" s="1"/>
      <c r="BN12" s="1"/>
      <c r="BO12" s="1"/>
      <c r="BP12" s="1"/>
    </row>
    <row r="13" spans="1:68" ht="18" customHeight="1" x14ac:dyDescent="0.2">
      <c r="A13" s="99">
        <v>5</v>
      </c>
      <c r="B13" s="99">
        <v>5</v>
      </c>
      <c r="C13" s="94" t="s">
        <v>7</v>
      </c>
      <c r="D13" s="101">
        <f>Diario!E144</f>
        <v>0</v>
      </c>
      <c r="E13" s="101">
        <f>Diario!E145</f>
        <v>0</v>
      </c>
      <c r="F13" s="101">
        <f>Diario!E146</f>
        <v>0</v>
      </c>
      <c r="G13" s="101">
        <f>Diario!E147</f>
        <v>0</v>
      </c>
      <c r="H13" s="101">
        <f>Diario!E148</f>
        <v>0</v>
      </c>
      <c r="I13" s="101">
        <f>Diario!E149</f>
        <v>0</v>
      </c>
      <c r="J13" s="101">
        <f>Diario!E150</f>
        <v>0</v>
      </c>
      <c r="K13" s="101">
        <f>Diario!E151</f>
        <v>0</v>
      </c>
      <c r="L13" s="101">
        <f>Diario!E152</f>
        <v>0</v>
      </c>
      <c r="M13" s="101">
        <f>Diario!E153</f>
        <v>0</v>
      </c>
      <c r="N13" s="101">
        <f>Diario!E154</f>
        <v>0</v>
      </c>
      <c r="O13" s="101">
        <f>Diario!E155</f>
        <v>0</v>
      </c>
      <c r="P13" s="101">
        <f>Diario!E156</f>
        <v>0</v>
      </c>
      <c r="Q13" s="101">
        <f>Diario!E157</f>
        <v>0</v>
      </c>
      <c r="R13" s="101">
        <f>Diario!E158</f>
        <v>0</v>
      </c>
      <c r="S13" s="101">
        <f>Diario!E159</f>
        <v>0</v>
      </c>
      <c r="T13" s="101">
        <f>Diario!E160</f>
        <v>0</v>
      </c>
      <c r="U13" s="101">
        <f>Diario!E161</f>
        <v>0</v>
      </c>
      <c r="V13" s="101">
        <f>Diario!E162</f>
        <v>0</v>
      </c>
      <c r="W13" s="101">
        <f>Diario!E163</f>
        <v>0</v>
      </c>
      <c r="X13" s="101">
        <f>Diario!E164</f>
        <v>0</v>
      </c>
      <c r="Y13" s="101">
        <f>Diario!E165</f>
        <v>0</v>
      </c>
      <c r="Z13" s="101">
        <f>Diario!E166</f>
        <v>0</v>
      </c>
      <c r="AA13" s="101">
        <f>Diario!E167</f>
        <v>0</v>
      </c>
      <c r="AB13" s="101">
        <f>Diario!E168</f>
        <v>0</v>
      </c>
      <c r="AC13" s="101">
        <f>Diario!E169</f>
        <v>0</v>
      </c>
      <c r="AD13" s="101">
        <f>Diario!E170</f>
        <v>0</v>
      </c>
      <c r="AE13" s="101">
        <f>Diario!E171</f>
        <v>0</v>
      </c>
      <c r="AF13" s="101">
        <f>Diario!E172</f>
        <v>0</v>
      </c>
      <c r="AG13" s="101">
        <f>Diario!E173</f>
        <v>0</v>
      </c>
      <c r="AH13" s="101">
        <f>Diario!E174</f>
        <v>0</v>
      </c>
      <c r="AI13" s="3"/>
      <c r="AJ13" s="3"/>
      <c r="AK13" s="3"/>
      <c r="AL13" s="3"/>
      <c r="AM13" s="3"/>
      <c r="AW13" s="431" t="s">
        <v>89</v>
      </c>
      <c r="AX13" s="431"/>
      <c r="AY13" s="429">
        <f t="shared" si="0"/>
        <v>0</v>
      </c>
      <c r="AZ13" s="430"/>
      <c r="BA13" s="429">
        <f t="shared" si="1"/>
        <v>0</v>
      </c>
      <c r="BB13" s="430"/>
      <c r="BC13" s="448">
        <f t="shared" si="2"/>
        <v>0</v>
      </c>
      <c r="BD13" s="449"/>
      <c r="BE13" s="442">
        <f t="shared" si="3"/>
        <v>0</v>
      </c>
      <c r="BF13" s="443"/>
      <c r="BG13" s="462">
        <f t="shared" si="4"/>
        <v>0</v>
      </c>
      <c r="BH13" s="464"/>
      <c r="BM13" s="1"/>
      <c r="BN13" s="1"/>
      <c r="BO13" s="1"/>
      <c r="BP13" s="1"/>
    </row>
    <row r="14" spans="1:68" ht="18" customHeight="1" x14ac:dyDescent="0.2">
      <c r="A14" s="99">
        <v>6</v>
      </c>
      <c r="B14" s="99">
        <v>6</v>
      </c>
      <c r="C14" s="94" t="s">
        <v>8</v>
      </c>
      <c r="D14" s="101">
        <f>Diario!E179</f>
        <v>0</v>
      </c>
      <c r="E14" s="101">
        <f>Diario!E180</f>
        <v>0</v>
      </c>
      <c r="F14" s="101">
        <f>Diario!E181</f>
        <v>0</v>
      </c>
      <c r="G14" s="101">
        <f>Diario!E182</f>
        <v>0</v>
      </c>
      <c r="H14" s="101">
        <f>Diario!E183</f>
        <v>0</v>
      </c>
      <c r="I14" s="101">
        <f>Diario!E184</f>
        <v>0</v>
      </c>
      <c r="J14" s="101">
        <f>Diario!E185</f>
        <v>0</v>
      </c>
      <c r="K14" s="101">
        <f>Diario!E186</f>
        <v>0</v>
      </c>
      <c r="L14" s="101">
        <f>Diario!E187</f>
        <v>0</v>
      </c>
      <c r="M14" s="101">
        <f>Diario!E188</f>
        <v>0</v>
      </c>
      <c r="N14" s="101">
        <f>Diario!E189</f>
        <v>0</v>
      </c>
      <c r="O14" s="101">
        <f>Diario!E190</f>
        <v>0</v>
      </c>
      <c r="P14" s="101">
        <f>Diario!E191</f>
        <v>0</v>
      </c>
      <c r="Q14" s="101">
        <f>Diario!E192</f>
        <v>0</v>
      </c>
      <c r="R14" s="101">
        <f>Diario!E193</f>
        <v>0</v>
      </c>
      <c r="S14" s="101">
        <f>Diario!E194</f>
        <v>0</v>
      </c>
      <c r="T14" s="101">
        <f>Diario!E195</f>
        <v>0</v>
      </c>
      <c r="U14" s="101">
        <f>Diario!E196</f>
        <v>0</v>
      </c>
      <c r="V14" s="101">
        <f>Diario!E197</f>
        <v>0</v>
      </c>
      <c r="W14" s="101">
        <f>Diario!E198</f>
        <v>0</v>
      </c>
      <c r="X14" s="101">
        <f>Diario!E199</f>
        <v>0</v>
      </c>
      <c r="Y14" s="101">
        <f>Diario!E200</f>
        <v>0</v>
      </c>
      <c r="Z14" s="101">
        <f>Diario!E201</f>
        <v>0</v>
      </c>
      <c r="AA14" s="101">
        <f>Diario!E202</f>
        <v>0</v>
      </c>
      <c r="AB14" s="101">
        <f>Diario!E203</f>
        <v>0</v>
      </c>
      <c r="AC14" s="101">
        <f>Diario!E204</f>
        <v>0</v>
      </c>
      <c r="AD14" s="101">
        <f>Diario!E205</f>
        <v>0</v>
      </c>
      <c r="AE14" s="101">
        <f>Diario!E206</f>
        <v>0</v>
      </c>
      <c r="AF14" s="101">
        <f>Diario!E207</f>
        <v>0</v>
      </c>
      <c r="AG14" s="101">
        <f>Diario!E208</f>
        <v>0</v>
      </c>
      <c r="AH14" s="34"/>
      <c r="AI14" s="3"/>
      <c r="AJ14" s="3"/>
      <c r="AK14" s="3"/>
      <c r="AL14" s="3"/>
      <c r="AM14" s="3"/>
      <c r="AW14" s="431" t="s">
        <v>90</v>
      </c>
      <c r="AX14" s="431"/>
      <c r="AY14" s="429">
        <f t="shared" si="0"/>
        <v>0</v>
      </c>
      <c r="AZ14" s="430"/>
      <c r="BA14" s="429">
        <f t="shared" si="1"/>
        <v>0</v>
      </c>
      <c r="BB14" s="430"/>
      <c r="BC14" s="448">
        <f t="shared" si="2"/>
        <v>0</v>
      </c>
      <c r="BD14" s="449"/>
      <c r="BE14" s="442">
        <f t="shared" si="3"/>
        <v>0</v>
      </c>
      <c r="BF14" s="443"/>
      <c r="BG14" s="462">
        <f t="shared" si="4"/>
        <v>0</v>
      </c>
      <c r="BH14" s="464"/>
      <c r="BM14" s="1"/>
      <c r="BN14" s="1"/>
      <c r="BO14" s="1"/>
      <c r="BP14" s="1"/>
    </row>
    <row r="15" spans="1:68" ht="18" customHeight="1" x14ac:dyDescent="0.2">
      <c r="A15" s="99">
        <v>7</v>
      </c>
      <c r="B15" s="99">
        <v>7</v>
      </c>
      <c r="C15" s="94" t="s">
        <v>9</v>
      </c>
      <c r="D15" s="101">
        <f>Diario!R4</f>
        <v>0</v>
      </c>
      <c r="E15" s="101">
        <f>Diario!R5</f>
        <v>0</v>
      </c>
      <c r="F15" s="101">
        <f>Diario!R6</f>
        <v>0</v>
      </c>
      <c r="G15" s="101">
        <f>Diario!R7</f>
        <v>0</v>
      </c>
      <c r="H15" s="101">
        <f>Diario!R8</f>
        <v>0</v>
      </c>
      <c r="I15" s="101">
        <f>Diario!R9</f>
        <v>0</v>
      </c>
      <c r="J15" s="101">
        <f>Diario!R10</f>
        <v>0</v>
      </c>
      <c r="K15" s="101">
        <f>Diario!R11</f>
        <v>0</v>
      </c>
      <c r="L15" s="101">
        <f>Diario!R12</f>
        <v>0</v>
      </c>
      <c r="M15" s="101">
        <f>Diario!R13</f>
        <v>0</v>
      </c>
      <c r="N15" s="101">
        <f>Diario!R14</f>
        <v>0</v>
      </c>
      <c r="O15" s="101">
        <f>Diario!R15</f>
        <v>0</v>
      </c>
      <c r="P15" s="101">
        <f>Diario!R16</f>
        <v>0</v>
      </c>
      <c r="Q15" s="101">
        <f>Diario!R17</f>
        <v>0</v>
      </c>
      <c r="R15" s="101">
        <f>Diario!R18</f>
        <v>0</v>
      </c>
      <c r="S15" s="101">
        <f>Diario!R19</f>
        <v>0</v>
      </c>
      <c r="T15" s="101">
        <f>Diario!R20</f>
        <v>0</v>
      </c>
      <c r="U15" s="101">
        <f>Diario!R21</f>
        <v>0</v>
      </c>
      <c r="V15" s="101">
        <f>Diario!R22</f>
        <v>0</v>
      </c>
      <c r="W15" s="101">
        <f>Diario!R23</f>
        <v>0</v>
      </c>
      <c r="X15" s="101">
        <f>Diario!R24</f>
        <v>0</v>
      </c>
      <c r="Y15" s="101">
        <f>Diario!R25</f>
        <v>0</v>
      </c>
      <c r="Z15" s="101">
        <f>Diario!R26</f>
        <v>0</v>
      </c>
      <c r="AA15" s="101">
        <f>Diario!R27</f>
        <v>0</v>
      </c>
      <c r="AB15" s="101">
        <f>Diario!R28</f>
        <v>0</v>
      </c>
      <c r="AC15" s="101">
        <f>Diario!R29</f>
        <v>0</v>
      </c>
      <c r="AD15" s="101">
        <f>Diario!R30</f>
        <v>0</v>
      </c>
      <c r="AE15" s="101">
        <f>Diario!R31</f>
        <v>0</v>
      </c>
      <c r="AF15" s="101">
        <f>Diario!R32</f>
        <v>0</v>
      </c>
      <c r="AG15" s="101">
        <f>Diario!R33</f>
        <v>0</v>
      </c>
      <c r="AH15" s="101">
        <f>Diario!R34</f>
        <v>0</v>
      </c>
      <c r="AI15" s="3"/>
      <c r="AJ15" s="3"/>
      <c r="AK15" s="3"/>
      <c r="AL15" s="3"/>
      <c r="AM15" s="3"/>
      <c r="AW15" s="431" t="s">
        <v>91</v>
      </c>
      <c r="AX15" s="431"/>
      <c r="AY15" s="429">
        <f t="shared" si="0"/>
        <v>0</v>
      </c>
      <c r="AZ15" s="430"/>
      <c r="BA15" s="429">
        <f t="shared" si="1"/>
        <v>0</v>
      </c>
      <c r="BB15" s="430"/>
      <c r="BC15" s="448">
        <f t="shared" si="2"/>
        <v>0</v>
      </c>
      <c r="BD15" s="449"/>
      <c r="BE15" s="442">
        <f t="shared" si="3"/>
        <v>0</v>
      </c>
      <c r="BF15" s="443"/>
      <c r="BG15" s="462">
        <f t="shared" si="4"/>
        <v>0</v>
      </c>
      <c r="BH15" s="464"/>
      <c r="BM15" s="1"/>
      <c r="BN15" s="1"/>
      <c r="BO15" s="1"/>
      <c r="BP15" s="1"/>
    </row>
    <row r="16" spans="1:68" ht="18" customHeight="1" x14ac:dyDescent="0.2">
      <c r="A16" s="99">
        <v>8</v>
      </c>
      <c r="B16" s="99">
        <v>8</v>
      </c>
      <c r="C16" s="94" t="s">
        <v>10</v>
      </c>
      <c r="D16" s="101">
        <f>Diario!R39</f>
        <v>0</v>
      </c>
      <c r="E16" s="101">
        <f>Diario!R40</f>
        <v>0</v>
      </c>
      <c r="F16" s="101">
        <f>Diario!R41</f>
        <v>0</v>
      </c>
      <c r="G16" s="102">
        <f>Diario!R42</f>
        <v>0</v>
      </c>
      <c r="H16" s="101">
        <f>Diario!R43</f>
        <v>0</v>
      </c>
      <c r="I16" s="101">
        <f>Diario!R44</f>
        <v>0</v>
      </c>
      <c r="J16" s="102">
        <f>Diario!R45</f>
        <v>0</v>
      </c>
      <c r="K16" s="102">
        <f>Diario!R46</f>
        <v>0</v>
      </c>
      <c r="L16" s="102">
        <f>Diario!R47</f>
        <v>0</v>
      </c>
      <c r="M16" s="102">
        <f>Diario!R48</f>
        <v>0</v>
      </c>
      <c r="N16" s="101">
        <f>Diario!R49</f>
        <v>0</v>
      </c>
      <c r="O16" s="101">
        <f>Diario!R50</f>
        <v>0</v>
      </c>
      <c r="P16" s="102">
        <f>Diario!R51</f>
        <v>0</v>
      </c>
      <c r="Q16" s="102">
        <f>Diario!R52</f>
        <v>0</v>
      </c>
      <c r="R16" s="103">
        <f>Diario!R53</f>
        <v>0</v>
      </c>
      <c r="S16" s="102">
        <f>Diario!R54</f>
        <v>0</v>
      </c>
      <c r="T16" s="102">
        <f>Diario!R55</f>
        <v>0</v>
      </c>
      <c r="U16" s="101">
        <f>Diario!R56</f>
        <v>0</v>
      </c>
      <c r="V16" s="101">
        <f>Diario!R57</f>
        <v>0</v>
      </c>
      <c r="W16" s="101">
        <f>Diario!R58</f>
        <v>0</v>
      </c>
      <c r="X16" s="101">
        <f>Diario!R59</f>
        <v>0</v>
      </c>
      <c r="Y16" s="102">
        <f>Diario!R60</f>
        <v>0</v>
      </c>
      <c r="Z16" s="101">
        <f>Diario!R61</f>
        <v>0</v>
      </c>
      <c r="AA16" s="102">
        <f>Diario!R62</f>
        <v>0</v>
      </c>
      <c r="AB16" s="101">
        <f>Diario!R63</f>
        <v>0</v>
      </c>
      <c r="AC16" s="101">
        <f>Diario!R64</f>
        <v>0</v>
      </c>
      <c r="AD16" s="101">
        <f>Diario!R65</f>
        <v>0</v>
      </c>
      <c r="AE16" s="101">
        <f>Diario!R66</f>
        <v>0</v>
      </c>
      <c r="AF16" s="101">
        <f>Diario!R67</f>
        <v>0</v>
      </c>
      <c r="AG16" s="101">
        <f>Diario!R68</f>
        <v>0</v>
      </c>
      <c r="AH16" s="101">
        <f>Diario!R69</f>
        <v>0</v>
      </c>
      <c r="AI16" s="3"/>
      <c r="AJ16" s="3"/>
      <c r="AK16" s="3"/>
      <c r="AL16" s="3"/>
      <c r="AM16" s="3"/>
      <c r="AW16" s="431" t="s">
        <v>92</v>
      </c>
      <c r="AX16" s="431"/>
      <c r="AY16" s="429">
        <f t="shared" si="0"/>
        <v>0</v>
      </c>
      <c r="AZ16" s="430"/>
      <c r="BA16" s="429">
        <f t="shared" si="1"/>
        <v>0</v>
      </c>
      <c r="BB16" s="430"/>
      <c r="BC16" s="448">
        <f t="shared" si="2"/>
        <v>0</v>
      </c>
      <c r="BD16" s="449"/>
      <c r="BE16" s="442">
        <f t="shared" si="3"/>
        <v>0</v>
      </c>
      <c r="BF16" s="443"/>
      <c r="BG16" s="462">
        <f t="shared" si="4"/>
        <v>0</v>
      </c>
      <c r="BH16" s="464"/>
      <c r="BM16" s="1"/>
      <c r="BN16" s="1"/>
      <c r="BO16" s="1"/>
      <c r="BP16" s="1"/>
    </row>
    <row r="17" spans="1:68" ht="18" customHeight="1" x14ac:dyDescent="0.2">
      <c r="A17" s="99">
        <v>9</v>
      </c>
      <c r="B17" s="99">
        <v>9</v>
      </c>
      <c r="C17" s="94" t="s">
        <v>11</v>
      </c>
      <c r="D17" s="101">
        <f>Diario!R74</f>
        <v>0</v>
      </c>
      <c r="E17" s="101">
        <f>Diario!R75</f>
        <v>0</v>
      </c>
      <c r="F17" s="102">
        <f>Diario!R76</f>
        <v>0</v>
      </c>
      <c r="G17" s="101">
        <f>Diario!R77</f>
        <v>0</v>
      </c>
      <c r="H17" s="101">
        <f>Diario!R78</f>
        <v>0</v>
      </c>
      <c r="I17" s="101">
        <f>Diario!R79</f>
        <v>0</v>
      </c>
      <c r="J17" s="101">
        <f>Diario!R80</f>
        <v>0</v>
      </c>
      <c r="K17" s="101">
        <f>Diario!R81</f>
        <v>0</v>
      </c>
      <c r="L17" s="101">
        <f>Diario!R82</f>
        <v>0</v>
      </c>
      <c r="M17" s="101">
        <f>Diario!R83</f>
        <v>0</v>
      </c>
      <c r="N17" s="101">
        <f>Diario!R84</f>
        <v>0</v>
      </c>
      <c r="O17" s="101">
        <f>Diario!R85</f>
        <v>0</v>
      </c>
      <c r="P17" s="101">
        <f>Diario!R86</f>
        <v>0</v>
      </c>
      <c r="Q17" s="101">
        <f>Diario!R87</f>
        <v>0</v>
      </c>
      <c r="R17" s="101">
        <f>Diario!R88</f>
        <v>0</v>
      </c>
      <c r="S17" s="101">
        <f>Diario!R89</f>
        <v>0</v>
      </c>
      <c r="T17" s="101">
        <f>Diario!R90</f>
        <v>0</v>
      </c>
      <c r="U17" s="101">
        <f>Diario!R91</f>
        <v>0</v>
      </c>
      <c r="V17" s="101">
        <f>Diario!R92</f>
        <v>0</v>
      </c>
      <c r="W17" s="101">
        <f>Diario!R93</f>
        <v>0</v>
      </c>
      <c r="X17" s="101">
        <f>Diario!R94</f>
        <v>0</v>
      </c>
      <c r="Y17" s="101">
        <f>Diario!R95</f>
        <v>0</v>
      </c>
      <c r="Z17" s="101">
        <f>Diario!R96</f>
        <v>0</v>
      </c>
      <c r="AA17" s="101">
        <f>Diario!R97</f>
        <v>0</v>
      </c>
      <c r="AB17" s="101">
        <f>Diario!R98</f>
        <v>0</v>
      </c>
      <c r="AC17" s="101">
        <f>Diario!R99</f>
        <v>0</v>
      </c>
      <c r="AD17" s="101">
        <f>Diario!R100</f>
        <v>0</v>
      </c>
      <c r="AE17" s="101">
        <f>Diario!R101</f>
        <v>0</v>
      </c>
      <c r="AF17" s="101">
        <f>Diario!R102</f>
        <v>0</v>
      </c>
      <c r="AG17" s="101">
        <f>Diario!R103</f>
        <v>0</v>
      </c>
      <c r="AH17" s="34"/>
      <c r="AI17" s="3"/>
      <c r="AJ17" s="3"/>
      <c r="AK17" s="3"/>
      <c r="AL17" s="3"/>
      <c r="AM17" s="3"/>
      <c r="AW17" s="431" t="s">
        <v>93</v>
      </c>
      <c r="AX17" s="431"/>
      <c r="AY17" s="429">
        <f t="shared" si="0"/>
        <v>0</v>
      </c>
      <c r="AZ17" s="430"/>
      <c r="BA17" s="429">
        <f t="shared" si="1"/>
        <v>0</v>
      </c>
      <c r="BB17" s="430"/>
      <c r="BC17" s="448">
        <f t="shared" si="2"/>
        <v>0</v>
      </c>
      <c r="BD17" s="449"/>
      <c r="BE17" s="442">
        <f t="shared" si="3"/>
        <v>0</v>
      </c>
      <c r="BF17" s="443"/>
      <c r="BG17" s="462">
        <f t="shared" si="4"/>
        <v>0</v>
      </c>
      <c r="BH17" s="464"/>
      <c r="BM17" s="1"/>
      <c r="BN17" s="1"/>
      <c r="BO17" s="1"/>
      <c r="BP17" s="1"/>
    </row>
    <row r="18" spans="1:68" ht="18" customHeight="1" thickBot="1" x14ac:dyDescent="0.25">
      <c r="A18" s="99">
        <v>10</v>
      </c>
      <c r="B18" s="99">
        <v>10</v>
      </c>
      <c r="C18" s="94" t="s">
        <v>12</v>
      </c>
      <c r="D18" s="101">
        <f>Diario!R109</f>
        <v>0</v>
      </c>
      <c r="E18" s="101">
        <f>Diario!R110</f>
        <v>0</v>
      </c>
      <c r="F18" s="101">
        <f>Diario!R111</f>
        <v>0</v>
      </c>
      <c r="G18" s="101">
        <f>Diario!R112</f>
        <v>0</v>
      </c>
      <c r="H18" s="101">
        <f>Diario!R113</f>
        <v>0</v>
      </c>
      <c r="I18" s="101">
        <f>Diario!R114</f>
        <v>0</v>
      </c>
      <c r="J18" s="101">
        <f>Diario!R115</f>
        <v>0</v>
      </c>
      <c r="K18" s="101">
        <f>Diario!R116</f>
        <v>0</v>
      </c>
      <c r="L18" s="101">
        <f>Diario!R117</f>
        <v>0</v>
      </c>
      <c r="M18" s="101">
        <f>Diario!R118</f>
        <v>0</v>
      </c>
      <c r="N18" s="101">
        <f>Diario!R119</f>
        <v>0</v>
      </c>
      <c r="O18" s="101">
        <f>Diario!R120</f>
        <v>0</v>
      </c>
      <c r="P18" s="101">
        <f>Diario!R121</f>
        <v>0</v>
      </c>
      <c r="Q18" s="101">
        <f>Diario!R122</f>
        <v>0</v>
      </c>
      <c r="R18" s="101">
        <f>Diario!R123</f>
        <v>0</v>
      </c>
      <c r="S18" s="101">
        <f>Diario!R124</f>
        <v>0</v>
      </c>
      <c r="T18" s="101">
        <f>Diario!R125</f>
        <v>0</v>
      </c>
      <c r="U18" s="101">
        <f>Diario!R126</f>
        <v>0</v>
      </c>
      <c r="V18" s="101">
        <f>Diario!R127</f>
        <v>0</v>
      </c>
      <c r="W18" s="101">
        <f>Diario!R128</f>
        <v>0</v>
      </c>
      <c r="X18" s="101">
        <f>Diario!R129</f>
        <v>0</v>
      </c>
      <c r="Y18" s="101">
        <f>Diario!R130</f>
        <v>0</v>
      </c>
      <c r="Z18" s="101">
        <f>Diario!R131</f>
        <v>0</v>
      </c>
      <c r="AA18" s="101">
        <f>Diario!R132</f>
        <v>0</v>
      </c>
      <c r="AB18" s="101">
        <f>Diario!R133</f>
        <v>0</v>
      </c>
      <c r="AC18" s="101">
        <f>Diario!R134</f>
        <v>0</v>
      </c>
      <c r="AD18" s="101">
        <f>Diario!R135</f>
        <v>0</v>
      </c>
      <c r="AE18" s="101">
        <f>Diario!R136</f>
        <v>0</v>
      </c>
      <c r="AF18" s="101">
        <f>Diario!R137</f>
        <v>0</v>
      </c>
      <c r="AG18" s="101">
        <f>Diario!R138</f>
        <v>0</v>
      </c>
      <c r="AH18" s="101">
        <f>Diario!R139</f>
        <v>0</v>
      </c>
      <c r="AI18" s="3"/>
      <c r="AJ18" s="3"/>
      <c r="AK18" s="3"/>
      <c r="AL18" s="3"/>
      <c r="AM18" s="3"/>
      <c r="AW18" s="431" t="s">
        <v>94</v>
      </c>
      <c r="AX18" s="431"/>
      <c r="AY18" s="429">
        <f t="shared" si="0"/>
        <v>0</v>
      </c>
      <c r="AZ18" s="430"/>
      <c r="BA18" s="429">
        <f t="shared" si="1"/>
        <v>0</v>
      </c>
      <c r="BB18" s="430"/>
      <c r="BC18" s="448">
        <f t="shared" si="2"/>
        <v>0</v>
      </c>
      <c r="BD18" s="449"/>
      <c r="BE18" s="442">
        <f t="shared" si="3"/>
        <v>0</v>
      </c>
      <c r="BF18" s="443"/>
      <c r="BG18" s="462">
        <f t="shared" si="4"/>
        <v>0</v>
      </c>
      <c r="BH18" s="464"/>
      <c r="BM18" s="1"/>
      <c r="BN18" s="1"/>
      <c r="BO18" s="1"/>
      <c r="BP18" s="1"/>
    </row>
    <row r="19" spans="1:68" ht="18" customHeight="1" thickBot="1" x14ac:dyDescent="0.25">
      <c r="A19" s="99">
        <v>11</v>
      </c>
      <c r="B19" s="99">
        <v>11</v>
      </c>
      <c r="C19" s="94" t="s">
        <v>13</v>
      </c>
      <c r="D19" s="101">
        <f>Diario!R144</f>
        <v>0</v>
      </c>
      <c r="E19" s="101">
        <f>Diario!R145</f>
        <v>0</v>
      </c>
      <c r="F19" s="101">
        <f>Diario!R146</f>
        <v>0</v>
      </c>
      <c r="G19" s="101">
        <f>Diario!R147</f>
        <v>0</v>
      </c>
      <c r="H19" s="101">
        <f>Diario!R148</f>
        <v>0</v>
      </c>
      <c r="I19" s="101">
        <f>Diario!R149</f>
        <v>0</v>
      </c>
      <c r="J19" s="101">
        <f>Diario!R150</f>
        <v>0</v>
      </c>
      <c r="K19" s="101">
        <f>Diario!R151</f>
        <v>0</v>
      </c>
      <c r="L19" s="102">
        <f>Diario!R152</f>
        <v>0</v>
      </c>
      <c r="M19" s="101">
        <f>Diario!R153</f>
        <v>0</v>
      </c>
      <c r="N19" s="101">
        <f>Diario!R154</f>
        <v>0</v>
      </c>
      <c r="O19" s="101">
        <f>Diario!R155</f>
        <v>0</v>
      </c>
      <c r="P19" s="101">
        <f>Diario!R156</f>
        <v>0</v>
      </c>
      <c r="Q19" s="101">
        <f>Diario!R157</f>
        <v>0</v>
      </c>
      <c r="R19" s="101">
        <f>Diario!R158</f>
        <v>0</v>
      </c>
      <c r="S19" s="101">
        <f>Diario!R159</f>
        <v>0</v>
      </c>
      <c r="T19" s="101">
        <f>Diario!R160</f>
        <v>0</v>
      </c>
      <c r="U19" s="101">
        <f>Diario!R161</f>
        <v>0</v>
      </c>
      <c r="V19" s="101">
        <f>Diario!R162</f>
        <v>0</v>
      </c>
      <c r="W19" s="101">
        <f>Diario!R163</f>
        <v>0</v>
      </c>
      <c r="X19" s="101">
        <f>Diario!R164</f>
        <v>0</v>
      </c>
      <c r="Y19" s="101">
        <f>Diario!R165</f>
        <v>0</v>
      </c>
      <c r="Z19" s="101">
        <f>Diario!R166</f>
        <v>0</v>
      </c>
      <c r="AA19" s="101">
        <f>Diario!R167</f>
        <v>0</v>
      </c>
      <c r="AB19" s="101">
        <f>Diario!R168</f>
        <v>0</v>
      </c>
      <c r="AC19" s="101">
        <f>Diario!R169</f>
        <v>0</v>
      </c>
      <c r="AD19" s="101">
        <f>Diario!R170</f>
        <v>0</v>
      </c>
      <c r="AE19" s="101">
        <f>Diario!R171</f>
        <v>0</v>
      </c>
      <c r="AF19" s="101">
        <f>Diario!R172</f>
        <v>0</v>
      </c>
      <c r="AG19" s="101">
        <f>Diario!R173</f>
        <v>0</v>
      </c>
      <c r="AH19" s="34"/>
      <c r="AI19" s="3"/>
      <c r="AJ19" s="3"/>
      <c r="AK19" s="3"/>
      <c r="AL19" s="3"/>
      <c r="AM19" s="3"/>
      <c r="AW19" s="431" t="s">
        <v>95</v>
      </c>
      <c r="AX19" s="431"/>
      <c r="AY19" s="429">
        <f t="shared" si="0"/>
        <v>0</v>
      </c>
      <c r="AZ19" s="430"/>
      <c r="BA19" s="429">
        <f t="shared" si="1"/>
        <v>0</v>
      </c>
      <c r="BB19" s="430"/>
      <c r="BC19" s="448">
        <f t="shared" si="2"/>
        <v>0</v>
      </c>
      <c r="BD19" s="449"/>
      <c r="BE19" s="442">
        <f t="shared" si="3"/>
        <v>0</v>
      </c>
      <c r="BF19" s="443"/>
      <c r="BG19" s="462">
        <f t="shared" si="4"/>
        <v>0</v>
      </c>
      <c r="BH19" s="463"/>
      <c r="BI19" s="104" t="s">
        <v>134</v>
      </c>
      <c r="BO19" s="1"/>
      <c r="BP19" s="1"/>
    </row>
    <row r="20" spans="1:68" ht="18" customHeight="1" x14ac:dyDescent="0.2">
      <c r="A20" s="99">
        <v>12</v>
      </c>
      <c r="B20" s="99">
        <v>12</v>
      </c>
      <c r="C20" s="94" t="s">
        <v>14</v>
      </c>
      <c r="D20" s="105">
        <f>Diario!R179</f>
        <v>0</v>
      </c>
      <c r="E20" s="105">
        <f>Diario!R180</f>
        <v>0</v>
      </c>
      <c r="F20" s="105">
        <f>Diario!R181</f>
        <v>0</v>
      </c>
      <c r="G20" s="105">
        <f>Diario!R182</f>
        <v>0</v>
      </c>
      <c r="H20" s="105">
        <f>Diario!R183</f>
        <v>0</v>
      </c>
      <c r="I20" s="105">
        <f>Diario!R184</f>
        <v>0</v>
      </c>
      <c r="J20" s="105">
        <f>Diario!R185</f>
        <v>0</v>
      </c>
      <c r="K20" s="105">
        <f>Diario!R186</f>
        <v>0</v>
      </c>
      <c r="L20" s="105">
        <f>Diario!R187</f>
        <v>0</v>
      </c>
      <c r="M20" s="105">
        <f>Diario!R188</f>
        <v>0</v>
      </c>
      <c r="N20" s="105">
        <f>Diario!R189</f>
        <v>0</v>
      </c>
      <c r="O20" s="105">
        <f>Diario!R190</f>
        <v>0</v>
      </c>
      <c r="P20" s="105">
        <f>Diario!R191</f>
        <v>0</v>
      </c>
      <c r="Q20" s="105">
        <f>Diario!R192</f>
        <v>0</v>
      </c>
      <c r="R20" s="105">
        <f>Diario!R193</f>
        <v>0</v>
      </c>
      <c r="S20" s="105">
        <f>Diario!R194</f>
        <v>0</v>
      </c>
      <c r="T20" s="105">
        <f>Diario!R195</f>
        <v>0</v>
      </c>
      <c r="U20" s="105">
        <f>Diario!R196</f>
        <v>0</v>
      </c>
      <c r="V20" s="105">
        <f>Diario!R197</f>
        <v>0</v>
      </c>
      <c r="W20" s="105">
        <f>Diario!R198</f>
        <v>0</v>
      </c>
      <c r="X20" s="105">
        <f>Diario!R199</f>
        <v>0</v>
      </c>
      <c r="Y20" s="105">
        <f>Diario!R200</f>
        <v>0</v>
      </c>
      <c r="Z20" s="105">
        <f>Diario!R201</f>
        <v>0</v>
      </c>
      <c r="AA20" s="105">
        <f>Diario!R202</f>
        <v>0</v>
      </c>
      <c r="AB20" s="105">
        <f>Diario!R203</f>
        <v>0</v>
      </c>
      <c r="AC20" s="105">
        <f>Diario!R204</f>
        <v>0</v>
      </c>
      <c r="AD20" s="105">
        <f>Diario!R205</f>
        <v>0</v>
      </c>
      <c r="AE20" s="105">
        <f>Diario!R206</f>
        <v>0</v>
      </c>
      <c r="AF20" s="105">
        <f>Diario!R207</f>
        <v>0</v>
      </c>
      <c r="AG20" s="105">
        <f>Diario!R208</f>
        <v>0</v>
      </c>
      <c r="AH20" s="105">
        <f>Diario!R209</f>
        <v>0</v>
      </c>
      <c r="AI20" s="3"/>
      <c r="AJ20" s="3"/>
      <c r="AK20" s="3"/>
      <c r="AL20" s="3"/>
      <c r="AM20" s="3"/>
      <c r="AW20" s="431" t="s">
        <v>96</v>
      </c>
      <c r="AX20" s="431"/>
      <c r="AY20" s="429">
        <f t="shared" si="0"/>
        <v>0</v>
      </c>
      <c r="AZ20" s="430"/>
      <c r="BA20" s="429">
        <f t="shared" si="1"/>
        <v>0</v>
      </c>
      <c r="BB20" s="430"/>
      <c r="BC20" s="448">
        <f t="shared" si="2"/>
        <v>0</v>
      </c>
      <c r="BD20" s="449"/>
      <c r="BE20" s="442">
        <f t="shared" si="3"/>
        <v>0</v>
      </c>
      <c r="BF20" s="443"/>
      <c r="BG20" s="429">
        <f t="shared" si="4"/>
        <v>0</v>
      </c>
      <c r="BH20" s="469"/>
      <c r="BI20" s="106">
        <f>BG9+BG10+BG11+BG12+BG13+BG14+BG15+BG16+BG17+BG18+BG19+BG20</f>
        <v>0</v>
      </c>
      <c r="BO20" s="1"/>
      <c r="BP20" s="1"/>
    </row>
    <row r="21" spans="1:68" ht="18" customHeight="1" x14ac:dyDescent="0.2">
      <c r="A21" s="99"/>
      <c r="B21" s="99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3"/>
      <c r="AJ21" s="3"/>
      <c r="AK21" s="3"/>
      <c r="AL21" s="3"/>
      <c r="AM21" s="3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O21" s="1"/>
      <c r="BP21" s="1"/>
    </row>
    <row r="22" spans="1:68" ht="18" customHeight="1" x14ac:dyDescent="0.2">
      <c r="C22" s="2"/>
      <c r="D22" s="392" t="str">
        <f>IF(ISBLANK(Tipologie!$B18),"",Tipologie!$B18)</f>
        <v>P</v>
      </c>
      <c r="E22" s="393"/>
      <c r="F22" s="392" t="str">
        <f>IF(ISBLANK(Tipologie!$B19),"",Tipologie!$B19)</f>
        <v>C</v>
      </c>
      <c r="G22" s="393"/>
      <c r="H22" s="392" t="str">
        <f>IF(ISBLANK(Tipologie!$B20),"",Tipologie!$B20)</f>
        <v>CAP</v>
      </c>
      <c r="I22" s="393"/>
      <c r="J22" s="394" t="str">
        <f>IF(ISBLANK(Tipologie!$B21),"",Tipologie!$B21)</f>
        <v>CAP2</v>
      </c>
      <c r="K22" s="395"/>
      <c r="L22" s="324" t="str">
        <f>IF(ISBLANK(Tipologie!$B22),"",Tipologie!$B22)</f>
        <v>RIP</v>
      </c>
      <c r="M22" s="325"/>
      <c r="N22" s="314" t="str">
        <f>IF(ISBLANK(Tipologie!$B23),"",Tipologie!$B23)</f>
        <v>I</v>
      </c>
      <c r="O22" s="315"/>
      <c r="P22" s="324" t="str">
        <f>IF(ISBLANK(Tipologie!$B24),"",Tipologie!$B24)</f>
        <v>IL</v>
      </c>
      <c r="Q22" s="325"/>
      <c r="R22" s="314" t="str">
        <f>IF(ISBLANK(Tipologie!$B25),"",Tipologie!$B25)</f>
        <v>FL</v>
      </c>
      <c r="S22" s="315"/>
      <c r="T22" s="324" t="str">
        <f>IF(ISBLANK(Tipologie!$B26),"",Tipologie!$B26)</f>
        <v>RF</v>
      </c>
      <c r="U22" s="325"/>
      <c r="V22" s="314" t="str">
        <f>IF(ISBLANK(Tipologie!$B27),"",Tipologie!$B27)</f>
        <v>F</v>
      </c>
      <c r="W22" s="315"/>
      <c r="X22" s="324" t="str">
        <f>IF(ISBLANK(Tipologie!$B28),"",Tipologie!$B28)</f>
        <v>M</v>
      </c>
      <c r="Y22" s="325"/>
      <c r="Z22" s="314" t="str">
        <f>IF(ISBLANK(Tipologie!$B29),"",Tipologie!$B29)</f>
        <v>DOR</v>
      </c>
      <c r="AA22" s="315"/>
      <c r="AB22" s="324" t="str">
        <f>IF(ISBLANK(Tipologie!$B30),"",Tipologie!$B30)</f>
        <v>V</v>
      </c>
      <c r="AC22" s="325"/>
      <c r="AD22" s="314" t="str">
        <f>IF(ISBLANK(Tipologie!$B31),"",Tipologie!$B31)</f>
        <v>FS</v>
      </c>
      <c r="AE22" s="315"/>
      <c r="AF22" s="450" t="str">
        <f>IF(ISBLANK(Tipologie!$B32),"",Tipologie!$B32)</f>
        <v>PM</v>
      </c>
      <c r="AG22" s="451"/>
      <c r="AH22" s="314" t="str">
        <f>IF(ISBLANK(Tipologie!$B33),"",Tipologie!$B33)</f>
        <v>S</v>
      </c>
      <c r="AI22" s="315"/>
      <c r="AJ22" s="324" t="str">
        <f>IF(ISBLANK(Tipologie!$B34),"",Tipologie!$B34)</f>
        <v>Mb</v>
      </c>
      <c r="AK22" s="325"/>
      <c r="AL22" s="314" t="str">
        <f>IF(ISBLANK(Tipologie!$B35),"",Tipologie!$B35)</f>
        <v>Ag</v>
      </c>
      <c r="AM22" s="315"/>
      <c r="AN22" s="324" t="str">
        <f>IF(ISBLANK(Tipologie!$B36),"",Tipologie!$B36)</f>
        <v>MC</v>
      </c>
      <c r="AO22" s="325"/>
      <c r="AP22" s="314" t="str">
        <f>IF(ISBLANK(Tipologie!$B37),"",Tipologie!$B37)</f>
        <v>MCAP</v>
      </c>
      <c r="AQ22" s="315"/>
      <c r="AR22" s="324" t="str">
        <f>IF(ISBLANK(Tipologie!$B38),"",Tipologie!$B38)</f>
        <v>MCAP2</v>
      </c>
      <c r="AS22" s="325"/>
      <c r="AT22" s="314" t="str">
        <f>IF(ISBLANK(Tipologie!$B39),"",Tipologie!$B39)</f>
        <v>PL</v>
      </c>
      <c r="AU22" s="315"/>
      <c r="AV22" s="28"/>
      <c r="AW22" s="472" t="s">
        <v>71</v>
      </c>
      <c r="AX22" s="473"/>
      <c r="AY22" s="473"/>
      <c r="AZ22" s="473"/>
      <c r="BA22" s="473"/>
      <c r="BB22" s="473"/>
      <c r="BC22" s="473"/>
      <c r="BD22" s="473"/>
      <c r="BE22" s="473"/>
      <c r="BF22" s="473"/>
      <c r="BG22" s="473"/>
      <c r="BH22" s="474"/>
      <c r="BJ22" s="202" t="str">
        <f>IF(ISBLANK(Tipologie!B20),"",Tipologie!B20)</f>
        <v>CAP</v>
      </c>
      <c r="BK22" s="202" t="str">
        <f>IF(ISBLANK(Tipologie!B21),"",Tipologie!B21)</f>
        <v>CAP2</v>
      </c>
      <c r="BL22" s="202" t="s">
        <v>136</v>
      </c>
      <c r="BM22" s="202" t="s">
        <v>135</v>
      </c>
      <c r="BO22" s="1"/>
      <c r="BP22" s="1"/>
    </row>
    <row r="23" spans="1:68" ht="18" customHeight="1" x14ac:dyDescent="0.2">
      <c r="C23" s="2"/>
      <c r="D23" s="396" t="str">
        <f>IF(ISBLANK(Tipologie!$C18),"",Tipologie!$C18)</f>
        <v>Presenza in Servizio</v>
      </c>
      <c r="E23" s="397"/>
      <c r="F23" s="396" t="str">
        <f>IF(ISBLANK(Tipologie!$C19),"",Tipologie!$C19)</f>
        <v>Congedo Anno Corrente</v>
      </c>
      <c r="G23" s="397"/>
      <c r="H23" s="396" t="str">
        <f>IF(ISBLANK(Tipologie!$C20),"",Tipologie!$C20)</f>
        <v>Congedo Anno Precedente</v>
      </c>
      <c r="I23" s="397"/>
      <c r="J23" s="316" t="str">
        <f>IF(ISBLANK(Tipologie!$C21),"",Tipologie!$C21)</f>
        <v>Congedo 2 Anni Precedenti</v>
      </c>
      <c r="K23" s="317"/>
      <c r="L23" s="348" t="str">
        <f>IF(ISBLANK(Tipologie!$C22),"",Tipologie!$C22)</f>
        <v>Riposo</v>
      </c>
      <c r="M23" s="349"/>
      <c r="N23" s="316" t="str">
        <f>IF(ISBLANK(Tipologie!$C23),"",Tipologie!$C23)</f>
        <v>GRS</v>
      </c>
      <c r="O23" s="317"/>
      <c r="P23" s="348" t="str">
        <f>IF(ISBLANK(Tipologie!$C24),"",Tipologie!$C24)</f>
        <v>GRS Lavorato</v>
      </c>
      <c r="Q23" s="349"/>
      <c r="R23" s="316" t="str">
        <f>IF(ISBLANK(Tipologie!$C25),"",Tipologie!$C25)</f>
        <v>Festivo Lavorato</v>
      </c>
      <c r="S23" s="317"/>
      <c r="T23" s="348" t="str">
        <f>IF(ISBLANK(Tipologie!$C26),"",Tipologie!$C26)</f>
        <v>Recupero Festivo</v>
      </c>
      <c r="U23" s="349"/>
      <c r="V23" s="316" t="str">
        <f>IF(ISBLANK(Tipologie!$C27),"",Tipologie!$C27)</f>
        <v>Festivo</v>
      </c>
      <c r="W23" s="317"/>
      <c r="X23" s="348" t="str">
        <f>IF(ISBLANK(Tipologie!$C28),"",Tipologie!$C28)</f>
        <v>Malattia</v>
      </c>
      <c r="Y23" s="349"/>
      <c r="Z23" s="423" t="str">
        <f>IF(ISBLANK(Tipologie!$C29),"",Tipologie!$C29)</f>
        <v>Dormita</v>
      </c>
      <c r="AA23" s="424"/>
      <c r="AB23" s="326" t="str">
        <f>IF(ISBLANK(Tipologie!$C30),"",Tipologie!$C30)</f>
        <v>Visita Medica</v>
      </c>
      <c r="AC23" s="327"/>
      <c r="AD23" s="432" t="str">
        <f>IF(ISBLANK(Tipologie!$C31),"",Tipologie!$C31)</f>
        <v>Festività Soppressa</v>
      </c>
      <c r="AE23" s="433"/>
      <c r="AF23" s="456" t="str">
        <f>IF(ISBLANK(Tipologie!$C32),"",Tipologie!$C32)</f>
        <v>Permesso</v>
      </c>
      <c r="AG23" s="457"/>
      <c r="AH23" s="316" t="str">
        <f>IF(ISBLANK(Tipologie!$C33),"",Tipologie!$C33)</f>
        <v>Sciopero</v>
      </c>
      <c r="AI23" s="317"/>
      <c r="AJ23" s="326" t="str">
        <f>IF(ISBLANK(Tipologie!$C34),"",Tipologie!$C34)</f>
        <v>Malattia bambino</v>
      </c>
      <c r="AK23" s="327"/>
      <c r="AL23" s="316" t="str">
        <f>IF(ISBLANK(Tipologie!$C35),"",Tipologie!$C35)</f>
        <v>Assenza giustificata</v>
      </c>
      <c r="AM23" s="317"/>
      <c r="AN23" s="326" t="str">
        <f>IF(ISBLANK(Tipologie!$C36),"",Tipologie!$C36)</f>
        <v>Mezzo congedo anno corrente</v>
      </c>
      <c r="AO23" s="327"/>
      <c r="AP23" s="316" t="str">
        <f>IF(ISBLANK(Tipologie!$C37),"",Tipologie!$C37)</f>
        <v>Mezzo congedo anno precedente</v>
      </c>
      <c r="AQ23" s="317"/>
      <c r="AR23" s="326" t="str">
        <f>IF(ISBLANK(Tipologie!$C38),"",Tipologie!$C38)</f>
        <v>Mezzo congedo 2 anni precedenti</v>
      </c>
      <c r="AS23" s="327"/>
      <c r="AT23" s="316" t="str">
        <f>IF(ISBLANK(Tipologie!$C39),"",Tipologie!$C39)</f>
        <v>Permesso L. 104</v>
      </c>
      <c r="AU23" s="317"/>
      <c r="AV23" s="41"/>
      <c r="AW23" s="475"/>
      <c r="AX23" s="476"/>
      <c r="AY23" s="476"/>
      <c r="AZ23" s="476"/>
      <c r="BA23" s="476"/>
      <c r="BB23" s="476"/>
      <c r="BC23" s="476"/>
      <c r="BD23" s="476"/>
      <c r="BE23" s="476"/>
      <c r="BF23" s="476"/>
      <c r="BG23" s="476"/>
      <c r="BH23" s="477"/>
      <c r="BJ23" s="332" t="s">
        <v>68</v>
      </c>
      <c r="BK23" s="332" t="s">
        <v>69</v>
      </c>
      <c r="BL23" s="332" t="s">
        <v>145</v>
      </c>
      <c r="BM23" s="332" t="s">
        <v>146</v>
      </c>
      <c r="BO23" s="1"/>
      <c r="BP23" s="1"/>
    </row>
    <row r="24" spans="1:68" ht="18" customHeight="1" x14ac:dyDescent="0.2">
      <c r="C24" s="2"/>
      <c r="D24" s="398"/>
      <c r="E24" s="399"/>
      <c r="F24" s="398"/>
      <c r="G24" s="399"/>
      <c r="H24" s="398"/>
      <c r="I24" s="399"/>
      <c r="J24" s="318"/>
      <c r="K24" s="319"/>
      <c r="L24" s="350"/>
      <c r="M24" s="351"/>
      <c r="N24" s="318"/>
      <c r="O24" s="319"/>
      <c r="P24" s="350"/>
      <c r="Q24" s="351"/>
      <c r="R24" s="318"/>
      <c r="S24" s="319"/>
      <c r="T24" s="350"/>
      <c r="U24" s="351"/>
      <c r="V24" s="318"/>
      <c r="W24" s="319"/>
      <c r="X24" s="350"/>
      <c r="Y24" s="351"/>
      <c r="Z24" s="425"/>
      <c r="AA24" s="426"/>
      <c r="AB24" s="328"/>
      <c r="AC24" s="329"/>
      <c r="AD24" s="434"/>
      <c r="AE24" s="435"/>
      <c r="AF24" s="458"/>
      <c r="AG24" s="459"/>
      <c r="AH24" s="318"/>
      <c r="AI24" s="319"/>
      <c r="AJ24" s="328"/>
      <c r="AK24" s="329"/>
      <c r="AL24" s="318"/>
      <c r="AM24" s="319"/>
      <c r="AN24" s="328"/>
      <c r="AO24" s="329"/>
      <c r="AP24" s="318"/>
      <c r="AQ24" s="319"/>
      <c r="AR24" s="328"/>
      <c r="AS24" s="329"/>
      <c r="AT24" s="318"/>
      <c r="AU24" s="319"/>
      <c r="AV24" s="41"/>
      <c r="AW24" s="452"/>
      <c r="AX24" s="453"/>
      <c r="AY24" s="453"/>
      <c r="AZ24" s="453"/>
      <c r="BA24" s="478" t="s">
        <v>76</v>
      </c>
      <c r="BB24" s="467" t="s">
        <v>72</v>
      </c>
      <c r="BC24" s="467"/>
      <c r="BD24" s="479" t="s">
        <v>74</v>
      </c>
      <c r="BE24" s="439" t="s">
        <v>75</v>
      </c>
      <c r="BF24" s="439"/>
      <c r="BG24" s="439" t="s">
        <v>73</v>
      </c>
      <c r="BH24" s="439"/>
      <c r="BJ24" s="333"/>
      <c r="BK24" s="333"/>
      <c r="BL24" s="333"/>
      <c r="BM24" s="333"/>
      <c r="BO24" s="1"/>
      <c r="BP24" s="1"/>
    </row>
    <row r="25" spans="1:68" ht="18" customHeight="1" x14ac:dyDescent="0.2">
      <c r="C25" s="2"/>
      <c r="D25" s="400"/>
      <c r="E25" s="401"/>
      <c r="F25" s="400"/>
      <c r="G25" s="401"/>
      <c r="H25" s="400"/>
      <c r="I25" s="401"/>
      <c r="J25" s="320"/>
      <c r="K25" s="321"/>
      <c r="L25" s="352"/>
      <c r="M25" s="353"/>
      <c r="N25" s="320"/>
      <c r="O25" s="321"/>
      <c r="P25" s="352"/>
      <c r="Q25" s="353"/>
      <c r="R25" s="320"/>
      <c r="S25" s="321"/>
      <c r="T25" s="352"/>
      <c r="U25" s="353"/>
      <c r="V25" s="320"/>
      <c r="W25" s="321"/>
      <c r="X25" s="352"/>
      <c r="Y25" s="353"/>
      <c r="Z25" s="427"/>
      <c r="AA25" s="428"/>
      <c r="AB25" s="330"/>
      <c r="AC25" s="331"/>
      <c r="AD25" s="436"/>
      <c r="AE25" s="437"/>
      <c r="AF25" s="460"/>
      <c r="AG25" s="461"/>
      <c r="AH25" s="320"/>
      <c r="AI25" s="321"/>
      <c r="AJ25" s="330"/>
      <c r="AK25" s="331"/>
      <c r="AL25" s="320"/>
      <c r="AM25" s="321"/>
      <c r="AN25" s="330"/>
      <c r="AO25" s="331"/>
      <c r="AP25" s="320"/>
      <c r="AQ25" s="321"/>
      <c r="AR25" s="330"/>
      <c r="AS25" s="331"/>
      <c r="AT25" s="320"/>
      <c r="AU25" s="321"/>
      <c r="AV25" s="41"/>
      <c r="AW25" s="454"/>
      <c r="AX25" s="455"/>
      <c r="AY25" s="455"/>
      <c r="AZ25" s="455"/>
      <c r="BA25" s="478"/>
      <c r="BB25" s="467"/>
      <c r="BC25" s="467"/>
      <c r="BD25" s="479"/>
      <c r="BE25" s="439"/>
      <c r="BF25" s="439"/>
      <c r="BG25" s="439"/>
      <c r="BH25" s="439"/>
      <c r="BJ25" s="334"/>
      <c r="BK25" s="334"/>
      <c r="BL25" s="334"/>
      <c r="BM25" s="334"/>
      <c r="BO25" s="1"/>
      <c r="BP25" s="1"/>
    </row>
    <row r="26" spans="1:68" ht="18" customHeight="1" x14ac:dyDescent="0.2">
      <c r="C26" s="6" t="s">
        <v>3</v>
      </c>
      <c r="D26" s="366">
        <f>IF(ISBLANK(Tipologie!$B$18),"",COUNTIF(D9:AH9,Tipologie!$B$18))+(Z26)+(R26)</f>
        <v>0</v>
      </c>
      <c r="E26" s="367"/>
      <c r="F26" s="368">
        <f>IF(ISBLANK(Tipologie!$B$19),"",COUNTIF(D9:AH9,Tipologie!$B$19))</f>
        <v>0</v>
      </c>
      <c r="G26" s="369"/>
      <c r="H26" s="366">
        <f>IF(ISBLANK(Tipologie!$B$20),"",COUNTIF(D9:AH9,Tipologie!$B$20))</f>
        <v>0</v>
      </c>
      <c r="I26" s="367"/>
      <c r="J26" s="322">
        <f>IF(ISBLANK(Tipologie!$B$21),"",COUNTIF(D9:AH9,Tipologie!$B$21))</f>
        <v>0</v>
      </c>
      <c r="K26" s="322"/>
      <c r="L26" s="347">
        <f>IF(ISBLANK(Tipologie!$B$22),"",COUNTIF(D9:AH9,Tipologie!$B$22))</f>
        <v>0</v>
      </c>
      <c r="M26" s="347"/>
      <c r="N26" s="322">
        <f>IF(ISBLANK(Tipologie!$B$23),"",COUNTIF(D9:AH9,Tipologie!$B$23))</f>
        <v>0</v>
      </c>
      <c r="O26" s="322"/>
      <c r="P26" s="347">
        <f>IF(ISBLANK(Tipologie!$B$24),"",COUNTIF(D9:AH9,Tipologie!$B$24))</f>
        <v>0</v>
      </c>
      <c r="Q26" s="347"/>
      <c r="R26" s="322">
        <f>IF(ISBLANK(Tipologie!$B$25),"",COUNTIF(D9:AH9,Tipologie!$B$25))</f>
        <v>0</v>
      </c>
      <c r="S26" s="322"/>
      <c r="T26" s="347">
        <f>IF(ISBLANK(Tipologie!$B$26),"",COUNTIF(D9:AH9,Tipologie!$B$26))</f>
        <v>0</v>
      </c>
      <c r="U26" s="347"/>
      <c r="V26" s="322">
        <f>IF(ISBLANK(Tipologie!$B$27),"",COUNTIF(D9:AH9,Tipologie!$B$27))</f>
        <v>0</v>
      </c>
      <c r="W26" s="322"/>
      <c r="X26" s="347">
        <f>IF(ISBLANK(Tipologie!$B$28),"",COUNTIF(D9:AH9,Tipologie!$B$28))</f>
        <v>0</v>
      </c>
      <c r="Y26" s="347"/>
      <c r="Z26" s="344">
        <f>IF(ISBLANK(Tipologie!$B$29),"",COUNTIF(D9:AH9,Tipologie!$B$29))</f>
        <v>0</v>
      </c>
      <c r="AA26" s="344"/>
      <c r="AB26" s="312">
        <f>IF(ISBLANK(Tipologie!$B$30),"",COUNTIF(D9:AH9,Tipologie!$B$30))</f>
        <v>0</v>
      </c>
      <c r="AC26" s="312"/>
      <c r="AD26" s="345">
        <f>IF(ISBLANK(Tipologie!$B$31),"",COUNTIF(D9:AH9,Tipologie!$B$31))</f>
        <v>0</v>
      </c>
      <c r="AE26" s="345"/>
      <c r="AF26" s="346">
        <f>IF(ISBLANK(Tipologie!$B$32),"",COUNTIF(D9:AH9,Tipologie!$B$32))</f>
        <v>0</v>
      </c>
      <c r="AG26" s="346"/>
      <c r="AH26" s="322">
        <f>IF(ISBLANK(Tipologie!$B$33),"",COUNTIF(D9:AH9,Tipologie!$B$33))</f>
        <v>0</v>
      </c>
      <c r="AI26" s="322"/>
      <c r="AJ26" s="312">
        <f>IF(ISBLANK(Tipologie!$B$34),"",COUNTIF(D9:AH9,Tipologie!$B$34))</f>
        <v>0</v>
      </c>
      <c r="AK26" s="312"/>
      <c r="AL26" s="322">
        <f>IF(ISBLANK(Tipologie!$B$35),"",COUNTIF(D9:AH9,Tipologie!$B$35))</f>
        <v>0</v>
      </c>
      <c r="AM26" s="322"/>
      <c r="AN26" s="312">
        <f>IF(ISBLANK(Tipologie!$B$36),"",COUNTIF(D9:AH9,Tipologie!$B$36))</f>
        <v>0</v>
      </c>
      <c r="AO26" s="312"/>
      <c r="AP26" s="322">
        <f>IF(ISBLANK(Tipologie!$B$37),"",COUNTIF(D9:AH9,Tipologie!$B$37))</f>
        <v>0</v>
      </c>
      <c r="AQ26" s="322"/>
      <c r="AR26" s="312">
        <f>IF(ISBLANK(Tipologie!$B$38),"",COUNTIF(D9:AH9,Tipologie!$B$38))</f>
        <v>0</v>
      </c>
      <c r="AS26" s="312"/>
      <c r="AT26" s="322">
        <f>IF(ISBLANK(Tipologie!$B$39),"",COUNTIF(D9:AH9,Tipologie!$B$39))</f>
        <v>0</v>
      </c>
      <c r="AU26" s="322"/>
      <c r="AV26" s="42"/>
      <c r="AW26" s="339" t="s">
        <v>31</v>
      </c>
      <c r="AX26" s="339"/>
      <c r="AY26" s="339"/>
      <c r="AZ26" s="108">
        <v>40909</v>
      </c>
      <c r="BA26" s="109" t="str">
        <f>IF(D9="R","X","")</f>
        <v/>
      </c>
      <c r="BB26" s="444" t="str">
        <f>IF(D9="FL","X","")</f>
        <v/>
      </c>
      <c r="BC26" s="445"/>
      <c r="BD26" s="109" t="str">
        <f>IF(D9="F","X","")</f>
        <v/>
      </c>
      <c r="BE26" s="480"/>
      <c r="BF26" s="481"/>
      <c r="BG26" s="468"/>
      <c r="BH26" s="466"/>
      <c r="BJ26" s="201">
        <f>IF(ISBLANK(Tipologie!$B$20),"",COUNTIF(D9:AH9,Tipologie!$B$20))</f>
        <v>0</v>
      </c>
      <c r="BK26" s="201">
        <f>IF(ISBLANK(Tipologie!$B$21),"",COUNTIF(D9:AH9,Tipologie!$B$21))</f>
        <v>0</v>
      </c>
      <c r="BL26" s="201">
        <f>IF(ISBLANK(Tipologie!$B$38),"",COUNTIF(D9:AH9,Tipologie!$B$38))</f>
        <v>0</v>
      </c>
      <c r="BM26" s="201">
        <f>IF(ISBLANK(Tipologie!$B$37),"",COUNTIF(D9:AH9,Tipologie!$B$37))</f>
        <v>0</v>
      </c>
    </row>
    <row r="27" spans="1:68" ht="18" customHeight="1" x14ac:dyDescent="0.2">
      <c r="C27" s="7" t="s">
        <v>4</v>
      </c>
      <c r="D27" s="366">
        <f>IF(ISBLANK(Tipologie!$B$18),"",COUNTIF(D10:AH10,Tipologie!$B$18))+(Z27)+(R27)</f>
        <v>0</v>
      </c>
      <c r="E27" s="367"/>
      <c r="F27" s="368">
        <f>IF(ISBLANK(Tipologie!$B$19),"",COUNTIF(D10:AH10,Tipologie!$B$19))</f>
        <v>0</v>
      </c>
      <c r="G27" s="369"/>
      <c r="H27" s="366">
        <f>IF(ISBLANK(Tipologie!$B$20),"",COUNTIF(D10:AH10,Tipologie!$B$20))</f>
        <v>0</v>
      </c>
      <c r="I27" s="367"/>
      <c r="J27" s="322">
        <f>IF(ISBLANK(Tipologie!$B$21),"",COUNTIF(D10:AH10,Tipologie!$B$21))</f>
        <v>0</v>
      </c>
      <c r="K27" s="322"/>
      <c r="L27" s="347">
        <f>IF(ISBLANK(Tipologie!$B$22),"",COUNTIF(D10:AH10,Tipologie!$B$22))</f>
        <v>0</v>
      </c>
      <c r="M27" s="347"/>
      <c r="N27" s="322">
        <f>IF(ISBLANK(Tipologie!$B$23),"",COUNTIF(D10:AH10,Tipologie!$B$23))</f>
        <v>0</v>
      </c>
      <c r="O27" s="322"/>
      <c r="P27" s="347">
        <f>IF(ISBLANK(Tipologie!$B$24),"",COUNTIF(D10:AH10,Tipologie!$B$24))</f>
        <v>0</v>
      </c>
      <c r="Q27" s="347"/>
      <c r="R27" s="322">
        <f>IF(ISBLANK(Tipologie!$B$25),"",COUNTIF(D10:AH10,Tipologie!$B$25))</f>
        <v>0</v>
      </c>
      <c r="S27" s="322"/>
      <c r="T27" s="347">
        <f>IF(ISBLANK(Tipologie!$B$26),"",COUNTIF(D10:AH10,Tipologie!$B$26))</f>
        <v>0</v>
      </c>
      <c r="U27" s="347"/>
      <c r="V27" s="322">
        <f>IF(ISBLANK(Tipologie!$B$27),"",COUNTIF(D10:AH10,Tipologie!$B$27))</f>
        <v>0</v>
      </c>
      <c r="W27" s="322"/>
      <c r="X27" s="347">
        <f>IF(ISBLANK(Tipologie!$B$28),"",COUNTIF(D10:AH10,Tipologie!$B$28))</f>
        <v>0</v>
      </c>
      <c r="Y27" s="347"/>
      <c r="Z27" s="344">
        <f>IF(ISBLANK(Tipologie!$B$29),"",COUNTIF(D10:AH10,Tipologie!$B$29))</f>
        <v>0</v>
      </c>
      <c r="AA27" s="344"/>
      <c r="AB27" s="312">
        <f>IF(ISBLANK(Tipologie!$B$30),"",COUNTIF(D10:AH10,Tipologie!$B$30))</f>
        <v>0</v>
      </c>
      <c r="AC27" s="312"/>
      <c r="AD27" s="345">
        <f>IF(ISBLANK(Tipologie!$B$31),"",COUNTIF(D10:AH10,Tipologie!$B$31))</f>
        <v>0</v>
      </c>
      <c r="AE27" s="345"/>
      <c r="AF27" s="346">
        <f>IF(ISBLANK(Tipologie!$B$32),"",COUNTIF(D10:AH10,Tipologie!$B$32))</f>
        <v>0</v>
      </c>
      <c r="AG27" s="346"/>
      <c r="AH27" s="322">
        <f>IF(ISBLANK(Tipologie!$B$33),"",COUNTIF(D10:AH10,Tipologie!$B$33))</f>
        <v>0</v>
      </c>
      <c r="AI27" s="322"/>
      <c r="AJ27" s="312">
        <f>IF(ISBLANK(Tipologie!$B$34),"",COUNTIF(D10:AH10,Tipologie!$B$34))</f>
        <v>0</v>
      </c>
      <c r="AK27" s="312"/>
      <c r="AL27" s="322">
        <f>IF(ISBLANK(Tipologie!$B$35),"",COUNTIF(D10:AH10,Tipologie!$B$35))</f>
        <v>0</v>
      </c>
      <c r="AM27" s="322"/>
      <c r="AN27" s="312">
        <f>IF(ISBLANK(Tipologie!$B$36),"",COUNTIF(D10:AH10,Tipologie!$B$36))</f>
        <v>0</v>
      </c>
      <c r="AO27" s="312"/>
      <c r="AP27" s="322">
        <f>IF(ISBLANK(Tipologie!$B$37),"",COUNTIF(D10:AH10,Tipologie!$B$37))</f>
        <v>0</v>
      </c>
      <c r="AQ27" s="322"/>
      <c r="AR27" s="312">
        <f>IF(ISBLANK(Tipologie!$B$38),"",COUNTIF(D10:AH10,Tipologie!$B$38))</f>
        <v>0</v>
      </c>
      <c r="AS27" s="312"/>
      <c r="AT27" s="322">
        <f>IF(ISBLANK(Tipologie!$B$39),"",COUNTIF(D10:AH10,Tipologie!$B$39))</f>
        <v>0</v>
      </c>
      <c r="AU27" s="322"/>
      <c r="AV27" s="42"/>
      <c r="AW27" s="339" t="s">
        <v>32</v>
      </c>
      <c r="AX27" s="339"/>
      <c r="AY27" s="339"/>
      <c r="AZ27" s="108">
        <v>40914</v>
      </c>
      <c r="BA27" s="109" t="str">
        <f>IF(I9="R","X","")</f>
        <v/>
      </c>
      <c r="BB27" s="444" t="str">
        <f>IF(I9="FL","X","")</f>
        <v/>
      </c>
      <c r="BC27" s="445"/>
      <c r="BD27" s="109" t="str">
        <f>IF(I9="F","X","")</f>
        <v/>
      </c>
      <c r="BE27" s="470"/>
      <c r="BF27" s="471"/>
      <c r="BG27" s="465"/>
      <c r="BH27" s="466"/>
      <c r="BJ27" s="201">
        <f>IF(ISBLANK(Tipologie!$B$20),"",COUNTIF(D10:AH10,Tipologie!$B$20))</f>
        <v>0</v>
      </c>
      <c r="BK27" s="201">
        <f>IF(ISBLANK(Tipologie!$B$21),"",COUNTIF(D10:AH10,Tipologie!$B$21))</f>
        <v>0</v>
      </c>
      <c r="BL27" s="201">
        <f>IF(ISBLANK(Tipologie!$B$38),"",COUNTIF(D10:AH10,Tipologie!$B$38))</f>
        <v>0</v>
      </c>
      <c r="BM27" s="201">
        <f>IF(ISBLANK(Tipologie!$B$37),"",COUNTIF(D10:AH10,Tipologie!$B$37))</f>
        <v>0</v>
      </c>
    </row>
    <row r="28" spans="1:68" ht="18" customHeight="1" x14ac:dyDescent="0.2">
      <c r="C28" s="7" t="s">
        <v>5</v>
      </c>
      <c r="D28" s="366">
        <f>IF(ISBLANK(Tipologie!$B$18),"",COUNTIF(D11:AH11,Tipologie!$B$18))+(Z28)+(R28)</f>
        <v>0</v>
      </c>
      <c r="E28" s="367"/>
      <c r="F28" s="368">
        <f>IF(ISBLANK(Tipologie!$B$19),"",COUNTIF(D11:AH11,Tipologie!$B$19))</f>
        <v>0</v>
      </c>
      <c r="G28" s="369"/>
      <c r="H28" s="366">
        <f>IF(ISBLANK(Tipologie!$B$20),"",COUNTIF(D11:AH11,Tipologie!$B$20))</f>
        <v>0</v>
      </c>
      <c r="I28" s="367"/>
      <c r="J28" s="322">
        <f>IF(ISBLANK(Tipologie!$B$21),"",COUNTIF(D11:AH11,Tipologie!$B$21))</f>
        <v>0</v>
      </c>
      <c r="K28" s="322"/>
      <c r="L28" s="347">
        <f>IF(ISBLANK(Tipologie!$B$22),"",COUNTIF(D11:AH11,Tipologie!$B$22))</f>
        <v>0</v>
      </c>
      <c r="M28" s="347"/>
      <c r="N28" s="322">
        <f>IF(ISBLANK(Tipologie!$B$23),"",COUNTIF(D11:AH11,Tipologie!$B$23))</f>
        <v>0</v>
      </c>
      <c r="O28" s="322"/>
      <c r="P28" s="347">
        <f>IF(ISBLANK(Tipologie!$B$24),"",COUNTIF(D11:AH11,Tipologie!$B$24))</f>
        <v>0</v>
      </c>
      <c r="Q28" s="347"/>
      <c r="R28" s="322">
        <f>IF(ISBLANK(Tipologie!$B$25),"",COUNTIF(D11:AH11,Tipologie!$B$25))</f>
        <v>0</v>
      </c>
      <c r="S28" s="322"/>
      <c r="T28" s="347">
        <f>IF(ISBLANK(Tipologie!$B$26),"",COUNTIF(D11:AH11,Tipologie!$B$26))</f>
        <v>0</v>
      </c>
      <c r="U28" s="347"/>
      <c r="V28" s="322">
        <f>IF(ISBLANK(Tipologie!$B$27),"",COUNTIF(D11:AH11,Tipologie!$B$27))</f>
        <v>0</v>
      </c>
      <c r="W28" s="322"/>
      <c r="X28" s="347">
        <f>IF(ISBLANK(Tipologie!$B$28),"",COUNTIF(D11:AH11,Tipologie!$B$28))</f>
        <v>0</v>
      </c>
      <c r="Y28" s="347"/>
      <c r="Z28" s="344">
        <f>IF(ISBLANK(Tipologie!$B$29),"",COUNTIF(D11:AH11,Tipologie!$B$29))</f>
        <v>0</v>
      </c>
      <c r="AA28" s="344"/>
      <c r="AB28" s="312">
        <f>IF(ISBLANK(Tipologie!$B$30),"",COUNTIF(D11:AH11,Tipologie!$B$30))</f>
        <v>0</v>
      </c>
      <c r="AC28" s="312"/>
      <c r="AD28" s="345">
        <f>IF(ISBLANK(Tipologie!$B$31),"",COUNTIF(D11:AH11,Tipologie!$B$31))</f>
        <v>0</v>
      </c>
      <c r="AE28" s="345"/>
      <c r="AF28" s="346">
        <f>IF(ISBLANK(Tipologie!$B$32),"",COUNTIF(D11:AH11,Tipologie!$B$32))</f>
        <v>0</v>
      </c>
      <c r="AG28" s="346"/>
      <c r="AH28" s="322">
        <f>IF(ISBLANK(Tipologie!$B$33),"",COUNTIF(D11:AH11,Tipologie!$B$33))</f>
        <v>0</v>
      </c>
      <c r="AI28" s="322"/>
      <c r="AJ28" s="312">
        <f>IF(ISBLANK(Tipologie!$B$34),"",COUNTIF(D11:AH11,Tipologie!$B$34))</f>
        <v>0</v>
      </c>
      <c r="AK28" s="312"/>
      <c r="AL28" s="322">
        <f>IF(ISBLANK(Tipologie!$B$35),"",COUNTIF(D11:AH11,Tipologie!$B$35))</f>
        <v>0</v>
      </c>
      <c r="AM28" s="322"/>
      <c r="AN28" s="312">
        <f>IF(ISBLANK(Tipologie!$B$36),"",COUNTIF(D11:AH11,Tipologie!$B$36))</f>
        <v>0</v>
      </c>
      <c r="AO28" s="312"/>
      <c r="AP28" s="322">
        <f>IF(ISBLANK(Tipologie!$B$37),"",COUNTIF(D11:AH11,Tipologie!$B$37))</f>
        <v>0</v>
      </c>
      <c r="AQ28" s="322"/>
      <c r="AR28" s="312">
        <f>IF(ISBLANK(Tipologie!$B$38),"",COUNTIF(D11:AH11,Tipologie!$B$38))</f>
        <v>0</v>
      </c>
      <c r="AS28" s="312"/>
      <c r="AT28" s="322">
        <f>IF(ISBLANK(Tipologie!$B$39),"",COUNTIF(D11:AH11,Tipologie!$B$39))</f>
        <v>0</v>
      </c>
      <c r="AU28" s="322"/>
      <c r="AV28" s="42"/>
      <c r="AW28" s="339" t="s">
        <v>126</v>
      </c>
      <c r="AX28" s="339"/>
      <c r="AY28" s="339"/>
      <c r="AZ28" s="108">
        <v>41024</v>
      </c>
      <c r="BA28" s="109" t="str">
        <f>IF(AB12="R","X","")</f>
        <v/>
      </c>
      <c r="BB28" s="444" t="str">
        <f>IF(AB12="FL","X","")</f>
        <v/>
      </c>
      <c r="BC28" s="445"/>
      <c r="BD28" s="109" t="str">
        <f>IF(AB12="F","X","")</f>
        <v/>
      </c>
      <c r="BE28" s="470"/>
      <c r="BF28" s="471"/>
      <c r="BG28" s="465"/>
      <c r="BH28" s="466"/>
      <c r="BJ28" s="201">
        <f>IF(ISBLANK(Tipologie!$B$20),"",COUNTIF(D11:AH11,Tipologie!$B$20))</f>
        <v>0</v>
      </c>
      <c r="BK28" s="201">
        <f>IF(ISBLANK(Tipologie!$B$21),"",COUNTIF(D11:AH11,Tipologie!$B$21))</f>
        <v>0</v>
      </c>
      <c r="BL28" s="201">
        <f>IF(ISBLANK(Tipologie!$B$38),"",COUNTIF(D11:AH11,Tipologie!$B$38))</f>
        <v>0</v>
      </c>
      <c r="BM28" s="201">
        <f>IF(ISBLANK(Tipologie!$B$37),"",COUNTIF(D11:AH11,Tipologie!$B$37))</f>
        <v>0</v>
      </c>
    </row>
    <row r="29" spans="1:68" ht="18" customHeight="1" x14ac:dyDescent="0.2">
      <c r="C29" s="7" t="s">
        <v>6</v>
      </c>
      <c r="D29" s="366">
        <f>IF(ISBLANK(Tipologie!$B$18),"",COUNTIF(D12:AH12,Tipologie!$B$18))+(Z29)+(R29)</f>
        <v>0</v>
      </c>
      <c r="E29" s="367"/>
      <c r="F29" s="368">
        <f>IF(ISBLANK(Tipologie!$B$19),"",COUNTIF(D12:AH12,Tipologie!$B$19))</f>
        <v>0</v>
      </c>
      <c r="G29" s="369"/>
      <c r="H29" s="366">
        <f>IF(ISBLANK(Tipologie!$B$20),"",COUNTIF(D12:AH12,Tipologie!$B$20))</f>
        <v>0</v>
      </c>
      <c r="I29" s="367"/>
      <c r="J29" s="322">
        <f>IF(ISBLANK(Tipologie!$B$21),"",COUNTIF(D12:AH12,Tipologie!$B$21))</f>
        <v>0</v>
      </c>
      <c r="K29" s="322"/>
      <c r="L29" s="347">
        <f>IF(ISBLANK(Tipologie!$B$22),"",COUNTIF(D12:AH12,Tipologie!$B$22))</f>
        <v>0</v>
      </c>
      <c r="M29" s="347"/>
      <c r="N29" s="322">
        <f>IF(ISBLANK(Tipologie!$B$23),"",COUNTIF(D12:AH12,Tipologie!$B$23))</f>
        <v>0</v>
      </c>
      <c r="O29" s="322"/>
      <c r="P29" s="347">
        <f>IF(ISBLANK(Tipologie!$B$24),"",COUNTIF(D12:AH12,Tipologie!$B$24))</f>
        <v>0</v>
      </c>
      <c r="Q29" s="347"/>
      <c r="R29" s="322">
        <f>IF(ISBLANK(Tipologie!$B$25),"",COUNTIF(D12:AH12,Tipologie!$B$25))</f>
        <v>0</v>
      </c>
      <c r="S29" s="322"/>
      <c r="T29" s="347">
        <f>IF(ISBLANK(Tipologie!$B$26),"",COUNTIF(D12:AH12,Tipologie!$B$26))</f>
        <v>0</v>
      </c>
      <c r="U29" s="347"/>
      <c r="V29" s="322">
        <f>IF(ISBLANK(Tipologie!$B$27),"",COUNTIF(D12:AH12,Tipologie!$B$27))</f>
        <v>0</v>
      </c>
      <c r="W29" s="322"/>
      <c r="X29" s="347">
        <f>IF(ISBLANK(Tipologie!$B$28),"",COUNTIF(D12:AH12,Tipologie!$B$28))</f>
        <v>0</v>
      </c>
      <c r="Y29" s="347"/>
      <c r="Z29" s="344">
        <f>IF(ISBLANK(Tipologie!$B$29),"",COUNTIF(D12:AH12,Tipologie!$B$29))</f>
        <v>0</v>
      </c>
      <c r="AA29" s="344"/>
      <c r="AB29" s="312">
        <f>IF(ISBLANK(Tipologie!$B$30),"",COUNTIF(D12:AH12,Tipologie!$B$30))</f>
        <v>0</v>
      </c>
      <c r="AC29" s="312"/>
      <c r="AD29" s="345">
        <f>IF(ISBLANK(Tipologie!$B$31),"",COUNTIF(D12:AH12,Tipologie!$B$31))</f>
        <v>0</v>
      </c>
      <c r="AE29" s="345"/>
      <c r="AF29" s="346">
        <f>IF(ISBLANK(Tipologie!$B$32),"",COUNTIF(D12:AH12,Tipologie!$B$32))</f>
        <v>0</v>
      </c>
      <c r="AG29" s="346"/>
      <c r="AH29" s="322">
        <f>IF(ISBLANK(Tipologie!$B$33),"",COUNTIF(D12:AH12,Tipologie!$B$33))</f>
        <v>0</v>
      </c>
      <c r="AI29" s="322"/>
      <c r="AJ29" s="312">
        <f>IF(ISBLANK(Tipologie!$B$34),"",COUNTIF(D12:AH12,Tipologie!$B$34))</f>
        <v>0</v>
      </c>
      <c r="AK29" s="312"/>
      <c r="AL29" s="322">
        <f>IF(ISBLANK(Tipologie!$B$35),"",COUNTIF(D12:AH12,Tipologie!$B$35))</f>
        <v>0</v>
      </c>
      <c r="AM29" s="322"/>
      <c r="AN29" s="312">
        <f>IF(ISBLANK(Tipologie!$B$36),"",COUNTIF(D12:AH12,Tipologie!$B$36))</f>
        <v>0</v>
      </c>
      <c r="AO29" s="312"/>
      <c r="AP29" s="322">
        <f>IF(ISBLANK(Tipologie!$B$37),"",COUNTIF(D12:AH12,Tipologie!$B$37))</f>
        <v>0</v>
      </c>
      <c r="AQ29" s="322"/>
      <c r="AR29" s="312">
        <f>IF(ISBLANK(Tipologie!$B$38),"",COUNTIF(D12:AH12,Tipologie!$B$38))</f>
        <v>0</v>
      </c>
      <c r="AS29" s="312"/>
      <c r="AT29" s="322">
        <f>IF(ISBLANK(Tipologie!$B$39),"",COUNTIF(D12:AH12,Tipologie!$B$39))</f>
        <v>0</v>
      </c>
      <c r="AU29" s="322"/>
      <c r="AV29" s="42"/>
      <c r="AW29" s="339" t="s">
        <v>34</v>
      </c>
      <c r="AX29" s="339"/>
      <c r="AY29" s="339"/>
      <c r="AZ29" s="108">
        <v>41030</v>
      </c>
      <c r="BA29" s="109" t="str">
        <f>IF(D13="R","X","")</f>
        <v/>
      </c>
      <c r="BB29" s="444" t="str">
        <f>IF(D13="FL","X","")</f>
        <v/>
      </c>
      <c r="BC29" s="445"/>
      <c r="BD29" s="109" t="str">
        <f>IF(D13="F","X","")</f>
        <v/>
      </c>
      <c r="BE29" s="470"/>
      <c r="BF29" s="471"/>
      <c r="BG29" s="465"/>
      <c r="BH29" s="466"/>
      <c r="BJ29" s="201">
        <f>IF(ISBLANK(Tipologie!$B$20),"",COUNTIF(D12:AH12,Tipologie!$B$20))</f>
        <v>0</v>
      </c>
      <c r="BK29" s="201">
        <f>IF(ISBLANK(Tipologie!$B$21),"",COUNTIF(D12:AH12,Tipologie!$B$21))</f>
        <v>0</v>
      </c>
      <c r="BL29" s="201">
        <f>IF(ISBLANK(Tipologie!$B$38),"",COUNTIF(D12:AH12,Tipologie!$B$38))</f>
        <v>0</v>
      </c>
      <c r="BM29" s="201">
        <f>IF(ISBLANK(Tipologie!$B$37),"",COUNTIF(D12:AH12,Tipologie!$B$37))</f>
        <v>0</v>
      </c>
    </row>
    <row r="30" spans="1:68" ht="18" customHeight="1" x14ac:dyDescent="0.2">
      <c r="C30" s="7" t="s">
        <v>7</v>
      </c>
      <c r="D30" s="366">
        <f>IF(ISBLANK(Tipologie!$B$18),"",COUNTIF(D13:AH13,Tipologie!$B$18))+(Z30)+(R30)</f>
        <v>0</v>
      </c>
      <c r="E30" s="367"/>
      <c r="F30" s="368">
        <f>IF(ISBLANK(Tipologie!$B$19),"",COUNTIF(D13:AH13,Tipologie!$B$19))</f>
        <v>0</v>
      </c>
      <c r="G30" s="369"/>
      <c r="H30" s="366">
        <f>IF(ISBLANK(Tipologie!$B$20),"",COUNTIF(D13:AH13,Tipologie!$B$20))</f>
        <v>0</v>
      </c>
      <c r="I30" s="367"/>
      <c r="J30" s="322">
        <f>IF(ISBLANK(Tipologie!$B$21),"",COUNTIF(D13:AH13,Tipologie!$B$21))</f>
        <v>0</v>
      </c>
      <c r="K30" s="322"/>
      <c r="L30" s="347">
        <f>IF(ISBLANK(Tipologie!$B$22),"",COUNTIF(D13:AH13,Tipologie!$B$22))</f>
        <v>0</v>
      </c>
      <c r="M30" s="347"/>
      <c r="N30" s="322">
        <f>IF(ISBLANK(Tipologie!$B$23),"",COUNTIF(D13:AH13,Tipologie!$B$23))</f>
        <v>0</v>
      </c>
      <c r="O30" s="322"/>
      <c r="P30" s="347">
        <f>IF(ISBLANK(Tipologie!$B$24),"",COUNTIF(D13:AH13,Tipologie!$B$24))</f>
        <v>0</v>
      </c>
      <c r="Q30" s="347"/>
      <c r="R30" s="322">
        <f>IF(ISBLANK(Tipologie!$B$25),"",COUNTIF(D13:AH13,Tipologie!$B$25))</f>
        <v>0</v>
      </c>
      <c r="S30" s="322"/>
      <c r="T30" s="347">
        <f>IF(ISBLANK(Tipologie!$B$26),"",COUNTIF(D13:AH13,Tipologie!$B$26))</f>
        <v>0</v>
      </c>
      <c r="U30" s="347"/>
      <c r="V30" s="322">
        <f>IF(ISBLANK(Tipologie!$B$27),"",COUNTIF(D13:AH13,Tipologie!$B$27))</f>
        <v>0</v>
      </c>
      <c r="W30" s="322"/>
      <c r="X30" s="347">
        <f>IF(ISBLANK(Tipologie!$B$28),"",COUNTIF(D13:AH13,Tipologie!$B$28))</f>
        <v>0</v>
      </c>
      <c r="Y30" s="347"/>
      <c r="Z30" s="344">
        <f>IF(ISBLANK(Tipologie!$B$29),"",COUNTIF(D13:AH13,Tipologie!$B$29))</f>
        <v>0</v>
      </c>
      <c r="AA30" s="344"/>
      <c r="AB30" s="312">
        <f>IF(ISBLANK(Tipologie!$B$30),"",COUNTIF(D13:AH13,Tipologie!$B$30))</f>
        <v>0</v>
      </c>
      <c r="AC30" s="312"/>
      <c r="AD30" s="345">
        <f>IF(ISBLANK(Tipologie!$B$31),"",COUNTIF(D13:AH13,Tipologie!$B$31))</f>
        <v>0</v>
      </c>
      <c r="AE30" s="345"/>
      <c r="AF30" s="346">
        <f>IF(ISBLANK(Tipologie!$B$32),"",COUNTIF(D13:AH13,Tipologie!$B$32))</f>
        <v>0</v>
      </c>
      <c r="AG30" s="346"/>
      <c r="AH30" s="322">
        <f>IF(ISBLANK(Tipologie!$B$33),"",COUNTIF(D13:AH13,Tipologie!$B$33))</f>
        <v>0</v>
      </c>
      <c r="AI30" s="322"/>
      <c r="AJ30" s="312">
        <f>IF(ISBLANK(Tipologie!$B$34),"",COUNTIF(D13:AH13,Tipologie!$B$34))</f>
        <v>0</v>
      </c>
      <c r="AK30" s="312"/>
      <c r="AL30" s="322">
        <f>IF(ISBLANK(Tipologie!$B$35),"",COUNTIF(D13:AH13,Tipologie!$B$35))</f>
        <v>0</v>
      </c>
      <c r="AM30" s="322"/>
      <c r="AN30" s="312">
        <f>IF(ISBLANK(Tipologie!$B$36),"",COUNTIF(D13:AH13,Tipologie!$B$36))</f>
        <v>0</v>
      </c>
      <c r="AO30" s="312"/>
      <c r="AP30" s="322">
        <f>IF(ISBLANK(Tipologie!$B$37),"",COUNTIF(D13:AH13,Tipologie!$B$37))</f>
        <v>0</v>
      </c>
      <c r="AQ30" s="322"/>
      <c r="AR30" s="312">
        <f>IF(ISBLANK(Tipologie!$B$38),"",COUNTIF(D13:AH13,Tipologie!$B$38))</f>
        <v>0</v>
      </c>
      <c r="AS30" s="312"/>
      <c r="AT30" s="322">
        <f>IF(ISBLANK(Tipologie!$B$39),"",COUNTIF(D13:AH13,Tipologie!$B$39))</f>
        <v>0</v>
      </c>
      <c r="AU30" s="322"/>
      <c r="AV30" s="42"/>
      <c r="AW30" s="339" t="s">
        <v>127</v>
      </c>
      <c r="AX30" s="339"/>
      <c r="AY30" s="339"/>
      <c r="AZ30" s="108">
        <v>41062</v>
      </c>
      <c r="BA30" s="109" t="str">
        <f>IF(E14="R","X","")</f>
        <v/>
      </c>
      <c r="BB30" s="444" t="str">
        <f>IF(E14="FL","X","")</f>
        <v/>
      </c>
      <c r="BC30" s="445"/>
      <c r="BD30" s="109" t="str">
        <f>IF(E14="F","X","")</f>
        <v/>
      </c>
      <c r="BE30" s="337"/>
      <c r="BF30" s="338"/>
      <c r="BG30" s="342"/>
      <c r="BH30" s="343"/>
      <c r="BJ30" s="201">
        <f>IF(ISBLANK(Tipologie!$B$20),"",COUNTIF(D13:AH13,Tipologie!$B$20))</f>
        <v>0</v>
      </c>
      <c r="BK30" s="201">
        <f>IF(ISBLANK(Tipologie!$B$21),"",COUNTIF(D13:AH13,Tipologie!$B$21))</f>
        <v>0</v>
      </c>
      <c r="BL30" s="201">
        <f>IF(ISBLANK(Tipologie!$B$38),"",COUNTIF(D13:AH13,Tipologie!$B$38))</f>
        <v>0</v>
      </c>
      <c r="BM30" s="201">
        <f>IF(ISBLANK(Tipologie!$B$37),"",COUNTIF(D13:AH13,Tipologie!$B$37))</f>
        <v>0</v>
      </c>
    </row>
    <row r="31" spans="1:68" ht="18" customHeight="1" x14ac:dyDescent="0.2">
      <c r="C31" s="7" t="s">
        <v>8</v>
      </c>
      <c r="D31" s="366">
        <f>IF(ISBLANK(Tipologie!$B$18),"",COUNTIF(D14:AH14,Tipologie!$B$18))+(Z31)+(R31)</f>
        <v>0</v>
      </c>
      <c r="E31" s="367"/>
      <c r="F31" s="368">
        <f>IF(ISBLANK(Tipologie!$B$19),"",COUNTIF(D14:AH14,Tipologie!$B$19))</f>
        <v>0</v>
      </c>
      <c r="G31" s="369"/>
      <c r="H31" s="366">
        <f>IF(ISBLANK(Tipologie!$B$20),"",COUNTIF(D14:AH14,Tipologie!$B$20))</f>
        <v>0</v>
      </c>
      <c r="I31" s="367"/>
      <c r="J31" s="322">
        <f>IF(ISBLANK(Tipologie!$B$21),"",COUNTIF(D14:AH14,Tipologie!$B$21))</f>
        <v>0</v>
      </c>
      <c r="K31" s="322"/>
      <c r="L31" s="347">
        <f>IF(ISBLANK(Tipologie!$B$22),"",COUNTIF(D14:AH14,Tipologie!$B$22))</f>
        <v>0</v>
      </c>
      <c r="M31" s="347"/>
      <c r="N31" s="322">
        <f>IF(ISBLANK(Tipologie!$B$23),"",COUNTIF(D14:AH14,Tipologie!$B$23))</f>
        <v>0</v>
      </c>
      <c r="O31" s="322"/>
      <c r="P31" s="347">
        <f>IF(ISBLANK(Tipologie!$B$24),"",COUNTIF(D14:AH14,Tipologie!$B$24))</f>
        <v>0</v>
      </c>
      <c r="Q31" s="347"/>
      <c r="R31" s="322">
        <f>IF(ISBLANK(Tipologie!$B$25),"",COUNTIF(D14:AH14,Tipologie!$B$25))</f>
        <v>0</v>
      </c>
      <c r="S31" s="322"/>
      <c r="T31" s="347">
        <f>IF(ISBLANK(Tipologie!$B$26),"",COUNTIF(D14:AH14,Tipologie!$B$26))</f>
        <v>0</v>
      </c>
      <c r="U31" s="347"/>
      <c r="V31" s="322">
        <f>IF(ISBLANK(Tipologie!$B$27),"",COUNTIF(D14:AH14,Tipologie!$B$27))</f>
        <v>0</v>
      </c>
      <c r="W31" s="322"/>
      <c r="X31" s="347">
        <f>IF(ISBLANK(Tipologie!$B$28),"",COUNTIF(D14:AH14,Tipologie!$B$28))</f>
        <v>0</v>
      </c>
      <c r="Y31" s="347"/>
      <c r="Z31" s="344">
        <f>IF(ISBLANK(Tipologie!$B$29),"",COUNTIF(D14:AH14,Tipologie!$B$29))</f>
        <v>0</v>
      </c>
      <c r="AA31" s="344"/>
      <c r="AB31" s="312">
        <f>IF(ISBLANK(Tipologie!$B$30),"",COUNTIF(D14:AH14,Tipologie!$B$30))</f>
        <v>0</v>
      </c>
      <c r="AC31" s="312"/>
      <c r="AD31" s="345">
        <f>IF(ISBLANK(Tipologie!$B$31),"",COUNTIF(D14:AH14,Tipologie!$B$31))</f>
        <v>0</v>
      </c>
      <c r="AE31" s="345"/>
      <c r="AF31" s="346">
        <f>IF(ISBLANK(Tipologie!$B$32),"",COUNTIF(D14:AH14,Tipologie!$B$32))</f>
        <v>0</v>
      </c>
      <c r="AG31" s="346"/>
      <c r="AH31" s="322">
        <f>IF(ISBLANK(Tipologie!$B$33),"",COUNTIF(D14:AH14,Tipologie!$B$33))</f>
        <v>0</v>
      </c>
      <c r="AI31" s="322"/>
      <c r="AJ31" s="312">
        <f>IF(ISBLANK(Tipologie!$B$34),"",COUNTIF(D14:AH14,Tipologie!$B$34))</f>
        <v>0</v>
      </c>
      <c r="AK31" s="312"/>
      <c r="AL31" s="322">
        <f>IF(ISBLANK(Tipologie!$B$35),"",COUNTIF(D14:AH14,Tipologie!$B$35))</f>
        <v>0</v>
      </c>
      <c r="AM31" s="322"/>
      <c r="AN31" s="312">
        <f>IF(ISBLANK(Tipologie!$B$36),"",COUNTIF(D14:AH14,Tipologie!$B$36))</f>
        <v>0</v>
      </c>
      <c r="AO31" s="312"/>
      <c r="AP31" s="322">
        <f>IF(ISBLANK(Tipologie!$B$37),"",COUNTIF(D14:AH14,Tipologie!$B$37))</f>
        <v>0</v>
      </c>
      <c r="AQ31" s="322"/>
      <c r="AR31" s="312">
        <f>IF(ISBLANK(Tipologie!$B$38),"",COUNTIF(D14:AH14,Tipologie!$B$38))</f>
        <v>0</v>
      </c>
      <c r="AS31" s="312"/>
      <c r="AT31" s="322">
        <f>IF(ISBLANK(Tipologie!$B$39),"",COUNTIF(D14:AH14,Tipologie!$B$39))</f>
        <v>0</v>
      </c>
      <c r="AU31" s="322"/>
      <c r="AV31" s="42"/>
      <c r="AW31" s="339" t="s">
        <v>36</v>
      </c>
      <c r="AX31" s="339"/>
      <c r="AY31" s="339"/>
      <c r="AZ31" s="108">
        <v>41136</v>
      </c>
      <c r="BA31" s="109" t="str">
        <f>IF(R16="R","X","")</f>
        <v/>
      </c>
      <c r="BB31" s="444" t="str">
        <f>IF(R16="FL","X","")</f>
        <v/>
      </c>
      <c r="BC31" s="445"/>
      <c r="BD31" s="109" t="str">
        <f>IF(R16="F","X","")</f>
        <v/>
      </c>
      <c r="BE31" s="337"/>
      <c r="BF31" s="338"/>
      <c r="BG31" s="342"/>
      <c r="BH31" s="343"/>
      <c r="BJ31" s="201">
        <f>IF(ISBLANK(Tipologie!$B$20),"",COUNTIF(D14:AH14,Tipologie!$B$20))</f>
        <v>0</v>
      </c>
      <c r="BK31" s="201">
        <f>IF(ISBLANK(Tipologie!$B$21),"",COUNTIF(D14:AH14,Tipologie!$B$21))</f>
        <v>0</v>
      </c>
      <c r="BL31" s="201">
        <f>IF(ISBLANK(Tipologie!$B$38),"",COUNTIF(D14:AH14,Tipologie!$B$38))</f>
        <v>0</v>
      </c>
      <c r="BM31" s="201">
        <f>IF(ISBLANK(Tipologie!$B$37),"",COUNTIF(D14:AH14,Tipologie!$B$37))</f>
        <v>0</v>
      </c>
    </row>
    <row r="32" spans="1:68" ht="18" customHeight="1" x14ac:dyDescent="0.2">
      <c r="C32" s="7" t="s">
        <v>9</v>
      </c>
      <c r="D32" s="366">
        <f>IF(ISBLANK(Tipologie!$B$18),"",COUNTIF(D15:AH15,Tipologie!$B$18))+(Z32)+(R32)</f>
        <v>0</v>
      </c>
      <c r="E32" s="367"/>
      <c r="F32" s="368">
        <f>IF(ISBLANK(Tipologie!$B$19),"",COUNTIF(D15:AH15,Tipologie!$B$19))</f>
        <v>0</v>
      </c>
      <c r="G32" s="369"/>
      <c r="H32" s="366">
        <f>IF(ISBLANK(Tipologie!$B$20),"",COUNTIF(D15:AH15,Tipologie!$B$20))</f>
        <v>0</v>
      </c>
      <c r="I32" s="367"/>
      <c r="J32" s="322">
        <f>IF(ISBLANK(Tipologie!$B$21),"",COUNTIF(D15:AH15,Tipologie!$B$21))</f>
        <v>0</v>
      </c>
      <c r="K32" s="322"/>
      <c r="L32" s="347">
        <f>IF(ISBLANK(Tipologie!$B$22),"",COUNTIF(D15:AH15,Tipologie!$B$22))</f>
        <v>0</v>
      </c>
      <c r="M32" s="347"/>
      <c r="N32" s="322">
        <f>IF(ISBLANK(Tipologie!$B$23),"",COUNTIF(D15:AH15,Tipologie!$B$23))</f>
        <v>0</v>
      </c>
      <c r="O32" s="322"/>
      <c r="P32" s="347">
        <f>IF(ISBLANK(Tipologie!$B$24),"",COUNTIF(D15:AH15,Tipologie!$B$24))</f>
        <v>0</v>
      </c>
      <c r="Q32" s="347"/>
      <c r="R32" s="322">
        <f>IF(ISBLANK(Tipologie!$B$25),"",COUNTIF(D15:AH15,Tipologie!$B$25))</f>
        <v>0</v>
      </c>
      <c r="S32" s="322"/>
      <c r="T32" s="347">
        <f>IF(ISBLANK(Tipologie!$B$26),"",COUNTIF(D15:AH15,Tipologie!$B$26))</f>
        <v>0</v>
      </c>
      <c r="U32" s="347"/>
      <c r="V32" s="322">
        <f>IF(ISBLANK(Tipologie!$B$27),"",COUNTIF(D15:AH15,Tipologie!$B$27))</f>
        <v>0</v>
      </c>
      <c r="W32" s="322"/>
      <c r="X32" s="347">
        <f>IF(ISBLANK(Tipologie!$B$28),"",COUNTIF(D15:AH15,Tipologie!$B$28))</f>
        <v>0</v>
      </c>
      <c r="Y32" s="347"/>
      <c r="Z32" s="344">
        <f>IF(ISBLANK(Tipologie!$B$29),"",COUNTIF(D15:AH15,Tipologie!$B$29))</f>
        <v>0</v>
      </c>
      <c r="AA32" s="344"/>
      <c r="AB32" s="312">
        <f>IF(ISBLANK(Tipologie!$B$30),"",COUNTIF(D15:AH15,Tipologie!$B$30))</f>
        <v>0</v>
      </c>
      <c r="AC32" s="312"/>
      <c r="AD32" s="345">
        <f>IF(ISBLANK(Tipologie!$B$31),"",COUNTIF(D15:AH15,Tipologie!$B$31))</f>
        <v>0</v>
      </c>
      <c r="AE32" s="345"/>
      <c r="AF32" s="346">
        <f>IF(ISBLANK(Tipologie!$B$32),"",COUNTIF(D15:AH15,Tipologie!$B$32))</f>
        <v>0</v>
      </c>
      <c r="AG32" s="346"/>
      <c r="AH32" s="322">
        <f>IF(ISBLANK(Tipologie!$B$33),"",COUNTIF(D15:AH15,Tipologie!$B$33))</f>
        <v>0</v>
      </c>
      <c r="AI32" s="322"/>
      <c r="AJ32" s="312">
        <f>IF(ISBLANK(Tipologie!$B$34),"",COUNTIF(D15:AH15,Tipologie!$B$34))</f>
        <v>0</v>
      </c>
      <c r="AK32" s="312"/>
      <c r="AL32" s="322">
        <f>IF(ISBLANK(Tipologie!$B$35),"",COUNTIF(D15:AH15,Tipologie!$B$35))</f>
        <v>0</v>
      </c>
      <c r="AM32" s="322"/>
      <c r="AN32" s="312">
        <f>IF(ISBLANK(Tipologie!$B$36),"",COUNTIF(D15:AH15,Tipologie!$B$36))</f>
        <v>0</v>
      </c>
      <c r="AO32" s="312"/>
      <c r="AP32" s="322">
        <f>IF(ISBLANK(Tipologie!$B$37),"",COUNTIF(D15:AH15,Tipologie!$B$37))</f>
        <v>0</v>
      </c>
      <c r="AQ32" s="322"/>
      <c r="AR32" s="312">
        <f>IF(ISBLANK(Tipologie!$B$38),"",COUNTIF(D15:AH15,Tipologie!$B$38))</f>
        <v>0</v>
      </c>
      <c r="AS32" s="312"/>
      <c r="AT32" s="322">
        <f>IF(ISBLANK(Tipologie!$B$39),"",COUNTIF(D15:AH15,Tipologie!$B$39))</f>
        <v>0</v>
      </c>
      <c r="AU32" s="322"/>
      <c r="AV32" s="42"/>
      <c r="AW32" s="339" t="s">
        <v>37</v>
      </c>
      <c r="AX32" s="339"/>
      <c r="AY32" s="339"/>
      <c r="AZ32" s="108">
        <v>41214</v>
      </c>
      <c r="BA32" s="109" t="str">
        <f>IF(D19="R","X","")</f>
        <v/>
      </c>
      <c r="BB32" s="444" t="str">
        <f>IF(D19="FL","X","")</f>
        <v/>
      </c>
      <c r="BC32" s="445"/>
      <c r="BD32" s="109" t="str">
        <f>IF(D19="F","X","")</f>
        <v/>
      </c>
      <c r="BE32" s="337"/>
      <c r="BF32" s="338"/>
      <c r="BG32" s="342"/>
      <c r="BH32" s="343"/>
      <c r="BJ32" s="201">
        <f>IF(ISBLANK(Tipologie!$B$20),"",COUNTIF(D15:AH15,Tipologie!$B$20))</f>
        <v>0</v>
      </c>
      <c r="BK32" s="201">
        <f>IF(ISBLANK(Tipologie!$B$21),"",COUNTIF(D15:AH15,Tipologie!$B$21))</f>
        <v>0</v>
      </c>
      <c r="BL32" s="201">
        <f>IF(ISBLANK(Tipologie!$B$38),"",COUNTIF(D15:AH15,Tipologie!$B$38))</f>
        <v>0</v>
      </c>
      <c r="BM32" s="201">
        <f>IF(ISBLANK(Tipologie!$B$37),"",COUNTIF(D15:AH15,Tipologie!$B$37))</f>
        <v>0</v>
      </c>
    </row>
    <row r="33" spans="1:65" ht="18" customHeight="1" x14ac:dyDescent="0.2">
      <c r="C33" s="7" t="s">
        <v>10</v>
      </c>
      <c r="D33" s="366">
        <f>IF(ISBLANK(Tipologie!$B$18),"",COUNTIF(D16:AH16,Tipologie!$B$18))+(Z33)+(R33)</f>
        <v>0</v>
      </c>
      <c r="E33" s="367"/>
      <c r="F33" s="368">
        <f>IF(ISBLANK(Tipologie!$B$19),"",COUNTIF(D16:AH16,Tipologie!$B$19))</f>
        <v>0</v>
      </c>
      <c r="G33" s="369"/>
      <c r="H33" s="366">
        <f>IF(ISBLANK(Tipologie!$B$20),"",COUNTIF(D16:AH16,Tipologie!$B$20))</f>
        <v>0</v>
      </c>
      <c r="I33" s="367"/>
      <c r="J33" s="322">
        <f>IF(ISBLANK(Tipologie!$B$21),"",COUNTIF(D16:AH16,Tipologie!$B$21))</f>
        <v>0</v>
      </c>
      <c r="K33" s="322"/>
      <c r="L33" s="347">
        <f>IF(ISBLANK(Tipologie!$B$22),"",COUNTIF(D16:AH16,Tipologie!$B$22))</f>
        <v>0</v>
      </c>
      <c r="M33" s="347"/>
      <c r="N33" s="322">
        <f>IF(ISBLANK(Tipologie!$B$23),"",COUNTIF(D16:AH16,Tipologie!$B$23))</f>
        <v>0</v>
      </c>
      <c r="O33" s="322"/>
      <c r="P33" s="347">
        <f>IF(ISBLANK(Tipologie!$B$24),"",COUNTIF(D16:AH16,Tipologie!$B$24))</f>
        <v>0</v>
      </c>
      <c r="Q33" s="347"/>
      <c r="R33" s="322">
        <f>IF(ISBLANK(Tipologie!$B$25),"",COUNTIF(D16:AH16,Tipologie!$B$25))</f>
        <v>0</v>
      </c>
      <c r="S33" s="322"/>
      <c r="T33" s="347">
        <f>IF(ISBLANK(Tipologie!$B$26),"",COUNTIF(D16:AH16,Tipologie!$B$26))</f>
        <v>0</v>
      </c>
      <c r="U33" s="347"/>
      <c r="V33" s="322">
        <f>IF(ISBLANK(Tipologie!$B$27),"",COUNTIF(D16:AH16,Tipologie!$B$27))</f>
        <v>0</v>
      </c>
      <c r="W33" s="322"/>
      <c r="X33" s="347">
        <f>IF(ISBLANK(Tipologie!$B$28),"",COUNTIF(D16:AH16,Tipologie!$B$28))</f>
        <v>0</v>
      </c>
      <c r="Y33" s="347"/>
      <c r="Z33" s="344">
        <f>IF(ISBLANK(Tipologie!$B$29),"",COUNTIF(D16:AH16,Tipologie!$B$29))</f>
        <v>0</v>
      </c>
      <c r="AA33" s="344"/>
      <c r="AB33" s="312">
        <f>IF(ISBLANK(Tipologie!$B$30),"",COUNTIF(D16:AH16,Tipologie!$B$30))</f>
        <v>0</v>
      </c>
      <c r="AC33" s="312"/>
      <c r="AD33" s="345">
        <f>IF(ISBLANK(Tipologie!$B$31),"",COUNTIF(D16:AH16,Tipologie!$B$31))</f>
        <v>0</v>
      </c>
      <c r="AE33" s="345"/>
      <c r="AF33" s="346">
        <f>IF(ISBLANK(Tipologie!$B$32),"",COUNTIF(D16:AH16,Tipologie!$B$32))</f>
        <v>0</v>
      </c>
      <c r="AG33" s="346"/>
      <c r="AH33" s="322">
        <f>IF(ISBLANK(Tipologie!$B$33),"",COUNTIF(D16:AH16,Tipologie!$B$33))</f>
        <v>0</v>
      </c>
      <c r="AI33" s="322"/>
      <c r="AJ33" s="312">
        <f>IF(ISBLANK(Tipologie!$B$34),"",COUNTIF(D16:AH16,Tipologie!$B$34))</f>
        <v>0</v>
      </c>
      <c r="AK33" s="312"/>
      <c r="AL33" s="322">
        <f>IF(ISBLANK(Tipologie!$B$35),"",COUNTIF(D16:AH16,Tipologie!$B$35))</f>
        <v>0</v>
      </c>
      <c r="AM33" s="322"/>
      <c r="AN33" s="312">
        <f>IF(ISBLANK(Tipologie!$B$36),"",COUNTIF(D16:AH16,Tipologie!$B$36))</f>
        <v>0</v>
      </c>
      <c r="AO33" s="312"/>
      <c r="AP33" s="322">
        <f>IF(ISBLANK(Tipologie!$B$37),"",COUNTIF(D16:AH16,Tipologie!$B$37))</f>
        <v>0</v>
      </c>
      <c r="AQ33" s="322"/>
      <c r="AR33" s="312">
        <f>IF(ISBLANK(Tipologie!$B$38),"",COUNTIF(D16:AH16,Tipologie!$B$38))</f>
        <v>0</v>
      </c>
      <c r="AS33" s="312"/>
      <c r="AT33" s="322">
        <f>IF(ISBLANK(Tipologie!$B$39),"",COUNTIF(D16:AH16,Tipologie!$B$39))</f>
        <v>0</v>
      </c>
      <c r="AU33" s="322"/>
      <c r="AV33" s="42"/>
      <c r="AW33" s="339" t="s">
        <v>38</v>
      </c>
      <c r="AX33" s="339"/>
      <c r="AY33" s="339"/>
      <c r="AZ33" s="108">
        <v>41251</v>
      </c>
      <c r="BA33" s="109" t="str">
        <f>IF(K20="R","X","")</f>
        <v/>
      </c>
      <c r="BB33" s="444" t="str">
        <f>IF(K20="FL","X","")</f>
        <v/>
      </c>
      <c r="BC33" s="445"/>
      <c r="BD33" s="109" t="str">
        <f>IF(K20="F","X","")</f>
        <v/>
      </c>
      <c r="BE33" s="337"/>
      <c r="BF33" s="338"/>
      <c r="BG33" s="342"/>
      <c r="BH33" s="343"/>
      <c r="BJ33" s="201">
        <f>IF(ISBLANK(Tipologie!$B$20),"",COUNTIF(D16:AH16,Tipologie!$B$20))</f>
        <v>0</v>
      </c>
      <c r="BK33" s="201">
        <f>IF(ISBLANK(Tipologie!$B$21),"",COUNTIF(D16:AH16,Tipologie!$B$21))</f>
        <v>0</v>
      </c>
      <c r="BL33" s="201">
        <f>IF(ISBLANK(Tipologie!$B$38),"",COUNTIF(D16:AH16,Tipologie!$B$38))</f>
        <v>0</v>
      </c>
      <c r="BM33" s="201">
        <f>IF(ISBLANK(Tipologie!$B$37),"",COUNTIF(D16:AH16,Tipologie!$B$37))</f>
        <v>0</v>
      </c>
    </row>
    <row r="34" spans="1:65" ht="18" customHeight="1" x14ac:dyDescent="0.2">
      <c r="B34" s="110"/>
      <c r="C34" s="7" t="s">
        <v>11</v>
      </c>
      <c r="D34" s="366">
        <f>IF(ISBLANK(Tipologie!$B$18),"",COUNTIF(D17:AH17,Tipologie!$B$18))+(Z34)+(R34)</f>
        <v>0</v>
      </c>
      <c r="E34" s="367"/>
      <c r="F34" s="368">
        <f>IF(ISBLANK(Tipologie!$B$19),"",COUNTIF(D17:AH17,Tipologie!$B$19))</f>
        <v>0</v>
      </c>
      <c r="G34" s="369"/>
      <c r="H34" s="366">
        <f>IF(ISBLANK(Tipologie!$B$20),"",COUNTIF(D17:AH17,Tipologie!$B$20))</f>
        <v>0</v>
      </c>
      <c r="I34" s="367"/>
      <c r="J34" s="322">
        <f>IF(ISBLANK(Tipologie!$B$21),"",COUNTIF(D17:AH17,Tipologie!$B$21))</f>
        <v>0</v>
      </c>
      <c r="K34" s="322"/>
      <c r="L34" s="347">
        <f>IF(ISBLANK(Tipologie!$B$22),"",COUNTIF(D17:AH17,Tipologie!$B$22))</f>
        <v>0</v>
      </c>
      <c r="M34" s="347"/>
      <c r="N34" s="322">
        <f>IF(ISBLANK(Tipologie!$B$23),"",COUNTIF(D17:AH17,Tipologie!$B$23))</f>
        <v>0</v>
      </c>
      <c r="O34" s="322"/>
      <c r="P34" s="347">
        <f>IF(ISBLANK(Tipologie!$B$24),"",COUNTIF(D17:AH17,Tipologie!$B$24))</f>
        <v>0</v>
      </c>
      <c r="Q34" s="347"/>
      <c r="R34" s="322">
        <f>IF(ISBLANK(Tipologie!$B$25),"",COUNTIF(D17:AH17,Tipologie!$B$25))</f>
        <v>0</v>
      </c>
      <c r="S34" s="322"/>
      <c r="T34" s="347">
        <f>IF(ISBLANK(Tipologie!$B$26),"",COUNTIF(D17:AH17,Tipologie!$B$26))</f>
        <v>0</v>
      </c>
      <c r="U34" s="347"/>
      <c r="V34" s="322">
        <f>IF(ISBLANK(Tipologie!$B$27),"",COUNTIF(D17:AH17,Tipologie!$B$27))</f>
        <v>0</v>
      </c>
      <c r="W34" s="322"/>
      <c r="X34" s="347">
        <f>IF(ISBLANK(Tipologie!$B$28),"",COUNTIF(D17:AH17,Tipologie!$B$28))</f>
        <v>0</v>
      </c>
      <c r="Y34" s="347"/>
      <c r="Z34" s="344">
        <f>IF(ISBLANK(Tipologie!$B$29),"",COUNTIF(D17:AH17,Tipologie!$B$29))</f>
        <v>0</v>
      </c>
      <c r="AA34" s="344"/>
      <c r="AB34" s="312">
        <f>IF(ISBLANK(Tipologie!$B$30),"",COUNTIF(D17:AH17,Tipologie!$B$30))</f>
        <v>0</v>
      </c>
      <c r="AC34" s="312"/>
      <c r="AD34" s="345">
        <f>IF(ISBLANK(Tipologie!$B$31),"",COUNTIF(D17:AH17,Tipologie!$B$31))</f>
        <v>0</v>
      </c>
      <c r="AE34" s="345"/>
      <c r="AF34" s="346">
        <f>IF(ISBLANK(Tipologie!$B$32),"",COUNTIF(D17:AH17,Tipologie!$B$32))</f>
        <v>0</v>
      </c>
      <c r="AG34" s="346"/>
      <c r="AH34" s="322">
        <f>IF(ISBLANK(Tipologie!$B$33),"",COUNTIF(D17:AH17,Tipologie!$B$33))</f>
        <v>0</v>
      </c>
      <c r="AI34" s="322"/>
      <c r="AJ34" s="312">
        <f>IF(ISBLANK(Tipologie!$B$34),"",COUNTIF(D17:AH17,Tipologie!$B$34))</f>
        <v>0</v>
      </c>
      <c r="AK34" s="312"/>
      <c r="AL34" s="322">
        <f>IF(ISBLANK(Tipologie!$B$35),"",COUNTIF(D17:AH17,Tipologie!$B$35))</f>
        <v>0</v>
      </c>
      <c r="AM34" s="322"/>
      <c r="AN34" s="312">
        <f>IF(ISBLANK(Tipologie!$B$36),"",COUNTIF(D17:AH17,Tipologie!$B$36))</f>
        <v>0</v>
      </c>
      <c r="AO34" s="312"/>
      <c r="AP34" s="322">
        <f>IF(ISBLANK(Tipologie!$B$37),"",COUNTIF(D17:AH17,Tipologie!$B$37))</f>
        <v>0</v>
      </c>
      <c r="AQ34" s="322"/>
      <c r="AR34" s="312">
        <f>IF(ISBLANK(Tipologie!$B$38),"",COUNTIF(D17:AH17,Tipologie!$B$38))</f>
        <v>0</v>
      </c>
      <c r="AS34" s="312"/>
      <c r="AT34" s="322">
        <f>IF(ISBLANK(Tipologie!$B$39),"",COUNTIF(D17:AH17,Tipologie!$B$39))</f>
        <v>0</v>
      </c>
      <c r="AU34" s="322"/>
      <c r="AV34" s="42"/>
      <c r="AW34" s="339" t="s">
        <v>39</v>
      </c>
      <c r="AX34" s="339"/>
      <c r="AY34" s="339"/>
      <c r="AZ34" s="108">
        <v>41268</v>
      </c>
      <c r="BA34" s="109" t="str">
        <f>IF(AB20="R","X","")</f>
        <v/>
      </c>
      <c r="BB34" s="444" t="str">
        <f>IF(AB20="FL","X","")</f>
        <v/>
      </c>
      <c r="BC34" s="445"/>
      <c r="BD34" s="109" t="str">
        <f>IF(AB20="F","X","")</f>
        <v/>
      </c>
      <c r="BE34" s="337"/>
      <c r="BF34" s="338"/>
      <c r="BG34" s="342"/>
      <c r="BH34" s="343"/>
      <c r="BJ34" s="201">
        <f>IF(ISBLANK(Tipologie!$B$20),"",COUNTIF(D17:AH17,Tipologie!$B$20))</f>
        <v>0</v>
      </c>
      <c r="BK34" s="201">
        <f>IF(ISBLANK(Tipologie!$B$21),"",COUNTIF(D17:AH17,Tipologie!$B$21))</f>
        <v>0</v>
      </c>
      <c r="BL34" s="201">
        <f>IF(ISBLANK(Tipologie!$B$38),"",COUNTIF(D17:AH17,Tipologie!$B$38))</f>
        <v>0</v>
      </c>
      <c r="BM34" s="201">
        <f>IF(ISBLANK(Tipologie!$B$37),"",COUNTIF(D17:AH17,Tipologie!$B$37))</f>
        <v>0</v>
      </c>
    </row>
    <row r="35" spans="1:65" ht="18" customHeight="1" x14ac:dyDescent="0.2">
      <c r="C35" s="7" t="s">
        <v>12</v>
      </c>
      <c r="D35" s="366">
        <f>IF(ISBLANK(Tipologie!$B$18),"",COUNTIF(D18:AH18,Tipologie!$B$18))+(Z35)+(R35)</f>
        <v>0</v>
      </c>
      <c r="E35" s="367"/>
      <c r="F35" s="368">
        <f>IF(ISBLANK(Tipologie!$B$19),"",COUNTIF(D18:AH18,Tipologie!$B$19))</f>
        <v>0</v>
      </c>
      <c r="G35" s="369"/>
      <c r="H35" s="366">
        <f>IF(ISBLANK(Tipologie!$B$20),"",COUNTIF(D18:AH18,Tipologie!$B$20))</f>
        <v>0</v>
      </c>
      <c r="I35" s="367"/>
      <c r="J35" s="322">
        <f>IF(ISBLANK(Tipologie!$B$21),"",COUNTIF(D18:AH18,Tipologie!$B$21))</f>
        <v>0</v>
      </c>
      <c r="K35" s="322"/>
      <c r="L35" s="347">
        <f>IF(ISBLANK(Tipologie!$B$22),"",COUNTIF(D18:AH18,Tipologie!$B$22))</f>
        <v>0</v>
      </c>
      <c r="M35" s="347"/>
      <c r="N35" s="322">
        <f>IF(ISBLANK(Tipologie!$B$23),"",COUNTIF(D18:AH18,Tipologie!$B$23))</f>
        <v>0</v>
      </c>
      <c r="O35" s="322"/>
      <c r="P35" s="347">
        <f>IF(ISBLANK(Tipologie!$B$24),"",COUNTIF(D18:AH18,Tipologie!$B$24))</f>
        <v>0</v>
      </c>
      <c r="Q35" s="347"/>
      <c r="R35" s="322">
        <f>IF(ISBLANK(Tipologie!$B$25),"",COUNTIF(D18:AH18,Tipologie!$B$25))</f>
        <v>0</v>
      </c>
      <c r="S35" s="322"/>
      <c r="T35" s="347">
        <f>IF(ISBLANK(Tipologie!$B$26),"",COUNTIF(D18:AH18,Tipologie!$B$26))</f>
        <v>0</v>
      </c>
      <c r="U35" s="347"/>
      <c r="V35" s="322">
        <f>IF(ISBLANK(Tipologie!$B$27),"",COUNTIF(D18:AH18,Tipologie!$B$27))</f>
        <v>0</v>
      </c>
      <c r="W35" s="322"/>
      <c r="X35" s="347">
        <f>IF(ISBLANK(Tipologie!$B$28),"",COUNTIF(D18:AH18,Tipologie!$B$28))</f>
        <v>0</v>
      </c>
      <c r="Y35" s="347"/>
      <c r="Z35" s="344">
        <f>IF(ISBLANK(Tipologie!$B$29),"",COUNTIF(D18:AH18,Tipologie!$B$29))</f>
        <v>0</v>
      </c>
      <c r="AA35" s="344"/>
      <c r="AB35" s="312">
        <f>IF(ISBLANK(Tipologie!$B$30),"",COUNTIF(D18:AH18,Tipologie!$B$30))</f>
        <v>0</v>
      </c>
      <c r="AC35" s="312"/>
      <c r="AD35" s="345">
        <f>IF(ISBLANK(Tipologie!$B$31),"",COUNTIF(D18:AH18,Tipologie!$B$31))</f>
        <v>0</v>
      </c>
      <c r="AE35" s="345"/>
      <c r="AF35" s="346">
        <f>IF(ISBLANK(Tipologie!$B$32),"",COUNTIF(D18:AH18,Tipologie!$B$32))</f>
        <v>0</v>
      </c>
      <c r="AG35" s="346"/>
      <c r="AH35" s="322">
        <f>IF(ISBLANK(Tipologie!$B$33),"",COUNTIF(D18:AH18,Tipologie!$B$33))</f>
        <v>0</v>
      </c>
      <c r="AI35" s="322"/>
      <c r="AJ35" s="312">
        <f>IF(ISBLANK(Tipologie!$B$34),"",COUNTIF(D18:AH18,Tipologie!$B$34))</f>
        <v>0</v>
      </c>
      <c r="AK35" s="312"/>
      <c r="AL35" s="322">
        <f>IF(ISBLANK(Tipologie!$B$35),"",COUNTIF(D18:AH18,Tipologie!$B$35))</f>
        <v>0</v>
      </c>
      <c r="AM35" s="322"/>
      <c r="AN35" s="312">
        <f>IF(ISBLANK(Tipologie!$B$36),"",COUNTIF(D18:AH18,Tipologie!$B$36))</f>
        <v>0</v>
      </c>
      <c r="AO35" s="312"/>
      <c r="AP35" s="322">
        <f>IF(ISBLANK(Tipologie!$B$37),"",COUNTIF(D18:AH18,Tipologie!$B$37))</f>
        <v>0</v>
      </c>
      <c r="AQ35" s="322"/>
      <c r="AR35" s="312">
        <f>IF(ISBLANK(Tipologie!$B$38),"",COUNTIF(D18:AH18,Tipologie!$B$38))</f>
        <v>0</v>
      </c>
      <c r="AS35" s="312"/>
      <c r="AT35" s="322">
        <f>IF(ISBLANK(Tipologie!$B$39),"",COUNTIF(D18:AH18,Tipologie!$B$39))</f>
        <v>0</v>
      </c>
      <c r="AU35" s="322"/>
      <c r="AV35" s="42"/>
      <c r="AW35" s="339" t="s">
        <v>40</v>
      </c>
      <c r="AX35" s="339"/>
      <c r="AY35" s="339"/>
      <c r="AZ35" s="108">
        <v>41269</v>
      </c>
      <c r="BA35" s="109" t="str">
        <f>IF(AC20="R","X","")</f>
        <v/>
      </c>
      <c r="BB35" s="444" t="str">
        <f>IF(AC20="FL","X","")</f>
        <v/>
      </c>
      <c r="BC35" s="445"/>
      <c r="BD35" s="109" t="str">
        <f>IF(AC20="F","X","")</f>
        <v/>
      </c>
      <c r="BE35" s="337"/>
      <c r="BF35" s="338"/>
      <c r="BG35" s="342"/>
      <c r="BH35" s="343"/>
      <c r="BJ35" s="201">
        <f>IF(ISBLANK(Tipologie!$B$20),"",COUNTIF(D18:AH18,Tipologie!$B$20))</f>
        <v>0</v>
      </c>
      <c r="BK35" s="201">
        <f>IF(ISBLANK(Tipologie!$B$21),"",COUNTIF(D18:AH18,Tipologie!$B$21))</f>
        <v>0</v>
      </c>
      <c r="BL35" s="201">
        <f>IF(ISBLANK(Tipologie!$B$38),"",COUNTIF(D18:AH18,Tipologie!$B$38))</f>
        <v>0</v>
      </c>
      <c r="BM35" s="201">
        <f>IF(ISBLANK(Tipologie!$B$37),"",COUNTIF(D18:AH18,Tipologie!$B$37))</f>
        <v>0</v>
      </c>
    </row>
    <row r="36" spans="1:65" ht="18" customHeight="1" x14ac:dyDescent="0.2">
      <c r="B36" s="110"/>
      <c r="C36" s="7" t="s">
        <v>13</v>
      </c>
      <c r="D36" s="366">
        <f>IF(ISBLANK(Tipologie!$B$18),"",COUNTIF(D19:AH19,Tipologie!$B$18))+(Z36)+(R36)</f>
        <v>0</v>
      </c>
      <c r="E36" s="367"/>
      <c r="F36" s="368">
        <f>IF(ISBLANK(Tipologie!$B$19),"",COUNTIF(D19:AH19,Tipologie!$B$19))</f>
        <v>0</v>
      </c>
      <c r="G36" s="369"/>
      <c r="H36" s="366">
        <f>IF(ISBLANK(Tipologie!$B$20),"",COUNTIF(D19:AH19,Tipologie!$B$20))</f>
        <v>0</v>
      </c>
      <c r="I36" s="367"/>
      <c r="J36" s="322">
        <f>IF(ISBLANK(Tipologie!$B$21),"",COUNTIF(D19:AH19,Tipologie!$B$21))</f>
        <v>0</v>
      </c>
      <c r="K36" s="322"/>
      <c r="L36" s="347">
        <f>IF(ISBLANK(Tipologie!$B$22),"",COUNTIF(D19:AH19,Tipologie!$B$22))</f>
        <v>0</v>
      </c>
      <c r="M36" s="347"/>
      <c r="N36" s="322">
        <f>IF(ISBLANK(Tipologie!$B$23),"",COUNTIF(D19:AH19,Tipologie!$B$23))</f>
        <v>0</v>
      </c>
      <c r="O36" s="322"/>
      <c r="P36" s="347">
        <f>IF(ISBLANK(Tipologie!$B$24),"",COUNTIF(D19:AH19,Tipologie!$B$24))</f>
        <v>0</v>
      </c>
      <c r="Q36" s="347"/>
      <c r="R36" s="322">
        <f>IF(ISBLANK(Tipologie!$B$25),"",COUNTIF(D19:AH19,Tipologie!$B$25))</f>
        <v>0</v>
      </c>
      <c r="S36" s="322"/>
      <c r="T36" s="347">
        <f>IF(ISBLANK(Tipologie!$B$26),"",COUNTIF(D19:AH19,Tipologie!$B$26))</f>
        <v>0</v>
      </c>
      <c r="U36" s="347"/>
      <c r="V36" s="322">
        <f>IF(ISBLANK(Tipologie!$B$27),"",COUNTIF(D19:AH19,Tipologie!$B$27))</f>
        <v>0</v>
      </c>
      <c r="W36" s="322"/>
      <c r="X36" s="347">
        <f>IF(ISBLANK(Tipologie!$B$28),"",COUNTIF(D19:AH19,Tipologie!$B$28))</f>
        <v>0</v>
      </c>
      <c r="Y36" s="347"/>
      <c r="Z36" s="344">
        <f>IF(ISBLANK(Tipologie!$B$29),"",COUNTIF(D19:AH19,Tipologie!$B$29))</f>
        <v>0</v>
      </c>
      <c r="AA36" s="344"/>
      <c r="AB36" s="312">
        <f>IF(ISBLANK(Tipologie!$B$30),"",COUNTIF(D19:AH19,Tipologie!$B$30))</f>
        <v>0</v>
      </c>
      <c r="AC36" s="312"/>
      <c r="AD36" s="345">
        <f>IF(ISBLANK(Tipologie!$B$31),"",COUNTIF(D19:AH19,Tipologie!$B$31))</f>
        <v>0</v>
      </c>
      <c r="AE36" s="345"/>
      <c r="AF36" s="346">
        <f>IF(ISBLANK(Tipologie!$B$32),"",COUNTIF(D19:AH19,Tipologie!$B$32))</f>
        <v>0</v>
      </c>
      <c r="AG36" s="346"/>
      <c r="AH36" s="322">
        <f>IF(ISBLANK(Tipologie!$B$33),"",COUNTIF(D19:AH19,Tipologie!$B$33))</f>
        <v>0</v>
      </c>
      <c r="AI36" s="322"/>
      <c r="AJ36" s="312">
        <f>IF(ISBLANK(Tipologie!$B$34),"",COUNTIF(D19:AH19,Tipologie!$B$34))</f>
        <v>0</v>
      </c>
      <c r="AK36" s="312"/>
      <c r="AL36" s="322">
        <f>IF(ISBLANK(Tipologie!$B$35),"",COUNTIF(D19:AH19,Tipologie!$B$35))</f>
        <v>0</v>
      </c>
      <c r="AM36" s="322"/>
      <c r="AN36" s="312">
        <f>IF(ISBLANK(Tipologie!$B$36),"",COUNTIF(D19:AH19,Tipologie!$B$36))</f>
        <v>0</v>
      </c>
      <c r="AO36" s="312"/>
      <c r="AP36" s="322">
        <f>IF(ISBLANK(Tipologie!$B$37),"",COUNTIF(D19:AH19,Tipologie!$B$37))</f>
        <v>0</v>
      </c>
      <c r="AQ36" s="322"/>
      <c r="AR36" s="312">
        <f>IF(ISBLANK(Tipologie!$B$38),"",COUNTIF(D19:AH19,Tipologie!$B$38))</f>
        <v>0</v>
      </c>
      <c r="AS36" s="312"/>
      <c r="AT36" s="322">
        <f>IF(ISBLANK(Tipologie!$B$39),"",COUNTIF(D19:AH19,Tipologie!$B$39))</f>
        <v>0</v>
      </c>
      <c r="AU36" s="322"/>
      <c r="AV36" s="42"/>
      <c r="AW36" s="339" t="s">
        <v>26</v>
      </c>
      <c r="AX36" s="339"/>
      <c r="AY36" s="339"/>
      <c r="AZ36" s="108">
        <v>41250</v>
      </c>
      <c r="BA36" s="109" t="str">
        <f>IF(J20="R","X","")</f>
        <v/>
      </c>
      <c r="BB36" s="444" t="str">
        <f>IF(J20="FL","X","")</f>
        <v/>
      </c>
      <c r="BC36" s="445"/>
      <c r="BD36" s="109" t="str">
        <f>IF(J20="F","X","")</f>
        <v/>
      </c>
      <c r="BE36" s="337"/>
      <c r="BF36" s="338"/>
      <c r="BG36" s="342"/>
      <c r="BH36" s="343"/>
      <c r="BJ36" s="201">
        <f>IF(ISBLANK(Tipologie!$B$20),"",COUNTIF(D19:AH19,Tipologie!$B$20))</f>
        <v>0</v>
      </c>
      <c r="BK36" s="201">
        <f>IF(ISBLANK(Tipologie!$B$21),"",COUNTIF(D19:AH19,Tipologie!$B$21))</f>
        <v>0</v>
      </c>
      <c r="BL36" s="201">
        <f>IF(ISBLANK(Tipologie!$B$38),"",COUNTIF(D19:AH19,Tipologie!$B$38))</f>
        <v>0</v>
      </c>
      <c r="BM36" s="201">
        <f>IF(ISBLANK(Tipologie!$B$37),"",COUNTIF(D19:AH19,Tipologie!$B$37))</f>
        <v>0</v>
      </c>
    </row>
    <row r="37" spans="1:65" ht="18" customHeight="1" thickBot="1" x14ac:dyDescent="0.25">
      <c r="C37" s="7" t="s">
        <v>14</v>
      </c>
      <c r="D37" s="366">
        <f>IF(ISBLANK(Tipologie!$B$18),"",COUNTIF(D20:AH20,Tipologie!$B$18))+(Z37)+(R37)</f>
        <v>0</v>
      </c>
      <c r="E37" s="367"/>
      <c r="F37" s="368">
        <f>IF(ISBLANK(Tipologie!$B$19),"",COUNTIF(D20:AH20,Tipologie!$B$19))</f>
        <v>0</v>
      </c>
      <c r="G37" s="369"/>
      <c r="H37" s="366">
        <f>IF(ISBLANK(Tipologie!$B$20),"",COUNTIF(D20:AH20,Tipologie!$B$20))</f>
        <v>0</v>
      </c>
      <c r="I37" s="367"/>
      <c r="J37" s="322">
        <f>IF(ISBLANK(Tipologie!$B$21),"",COUNTIF(D20:AH20,Tipologie!$B$21))</f>
        <v>0</v>
      </c>
      <c r="K37" s="322"/>
      <c r="L37" s="347">
        <f>IF(ISBLANK(Tipologie!$B$22),"",COUNTIF(D20:AH20,Tipologie!$B$22))</f>
        <v>0</v>
      </c>
      <c r="M37" s="347"/>
      <c r="N37" s="322">
        <f>IF(ISBLANK(Tipologie!$B$23),"",COUNTIF(D20:AH20,Tipologie!$B$23))</f>
        <v>0</v>
      </c>
      <c r="O37" s="322"/>
      <c r="P37" s="347">
        <f>IF(ISBLANK(Tipologie!$B$24),"",COUNTIF(D20:AH20,Tipologie!$B$24))</f>
        <v>0</v>
      </c>
      <c r="Q37" s="347"/>
      <c r="R37" s="322">
        <f>IF(ISBLANK(Tipologie!$B$25),"",COUNTIF(D20:AH20,Tipologie!$B$25))</f>
        <v>0</v>
      </c>
      <c r="S37" s="322"/>
      <c r="T37" s="347">
        <f>IF(ISBLANK(Tipologie!$B$26),"",COUNTIF(D20:AH20,Tipologie!$B$26))</f>
        <v>0</v>
      </c>
      <c r="U37" s="347"/>
      <c r="V37" s="322">
        <f>IF(ISBLANK(Tipologie!$B$27),"",COUNTIF(D20:AH20,Tipologie!$B$27))</f>
        <v>0</v>
      </c>
      <c r="W37" s="322"/>
      <c r="X37" s="347">
        <f>IF(ISBLANK(Tipologie!$B$28),"",COUNTIF(D20:AH20,Tipologie!$B$28))</f>
        <v>0</v>
      </c>
      <c r="Y37" s="347"/>
      <c r="Z37" s="344">
        <f>IF(ISBLANK(Tipologie!$B$29),"",COUNTIF(D20:AH20,Tipologie!$B$29))</f>
        <v>0</v>
      </c>
      <c r="AA37" s="344"/>
      <c r="AB37" s="312">
        <f>IF(ISBLANK(Tipologie!$B$30),"",COUNTIF(D20:AH20,Tipologie!$B$30))</f>
        <v>0</v>
      </c>
      <c r="AC37" s="312"/>
      <c r="AD37" s="345">
        <f>IF(ISBLANK(Tipologie!$B$31),"",COUNTIF(D20:AH20,Tipologie!$B$31))</f>
        <v>0</v>
      </c>
      <c r="AE37" s="345"/>
      <c r="AF37" s="346">
        <f>IF(ISBLANK(Tipologie!$B$32),"",COUNTIF(D20:AH20,Tipologie!$B$32))</f>
        <v>0</v>
      </c>
      <c r="AG37" s="346"/>
      <c r="AH37" s="322">
        <f>IF(ISBLANK(Tipologie!$B$33),"",COUNTIF(D20:AH20,Tipologie!$B$33))</f>
        <v>0</v>
      </c>
      <c r="AI37" s="322"/>
      <c r="AJ37" s="312">
        <f>IF(ISBLANK(Tipologie!$B$34),"",COUNTIF(D20:AH20,Tipologie!$B$34))</f>
        <v>0</v>
      </c>
      <c r="AK37" s="312"/>
      <c r="AL37" s="322">
        <f>IF(ISBLANK(Tipologie!$B$35),"",COUNTIF(D20:AH20,Tipologie!$B$35))</f>
        <v>0</v>
      </c>
      <c r="AM37" s="322"/>
      <c r="AN37" s="312">
        <f>IF(ISBLANK(Tipologie!$B$36),"",COUNTIF(D20:AH20,Tipologie!$B$36))</f>
        <v>0</v>
      </c>
      <c r="AO37" s="312"/>
      <c r="AP37" s="322">
        <f>IF(ISBLANK(Tipologie!$B$37),"",COUNTIF(D20:AH20,Tipologie!$B$37))</f>
        <v>0</v>
      </c>
      <c r="AQ37" s="322"/>
      <c r="AR37" s="312">
        <f>IF(ISBLANK(Tipologie!$B$38),"",COUNTIF(D20:AH20,Tipologie!$B$38))</f>
        <v>0</v>
      </c>
      <c r="AS37" s="312"/>
      <c r="AT37" s="322">
        <f>IF(ISBLANK(Tipologie!$B$39),"",COUNTIF(D20:AH20,Tipologie!$B$39))</f>
        <v>0</v>
      </c>
      <c r="AU37" s="322"/>
      <c r="AV37" s="42"/>
      <c r="AW37" s="340"/>
      <c r="AX37" s="340"/>
      <c r="AY37" s="340"/>
      <c r="AZ37" s="108"/>
      <c r="BA37" s="109"/>
      <c r="BB37" s="444"/>
      <c r="BC37" s="445"/>
      <c r="BD37" s="109"/>
      <c r="BE37" s="337"/>
      <c r="BF37" s="338"/>
      <c r="BG37" s="342"/>
      <c r="BH37" s="343"/>
      <c r="BJ37" s="201">
        <f>IF(ISBLANK(Tipologie!$B$20),"",COUNTIF(D20:AH20,Tipologie!$B$20))</f>
        <v>0</v>
      </c>
      <c r="BK37" s="201">
        <f>IF(ISBLANK(Tipologie!$B$21),"",COUNTIF(D20:AH20,Tipologie!$B$21))</f>
        <v>0</v>
      </c>
      <c r="BL37" s="201">
        <f>IF(ISBLANK(Tipologie!$B$38),"",COUNTIF(D20:AH20,Tipologie!$B$38))</f>
        <v>0</v>
      </c>
      <c r="BM37" s="201">
        <f>IF(ISBLANK(Tipologie!$B$37),"",COUNTIF(D20:AH20,Tipologie!$B$37))</f>
        <v>0</v>
      </c>
    </row>
    <row r="38" spans="1:65" ht="18" customHeight="1" x14ac:dyDescent="0.2">
      <c r="C38" s="2"/>
      <c r="D38" s="365">
        <f>IF(ISBLANK(Tipologie!$B$18),"",SUM(D26:D37))</f>
        <v>0</v>
      </c>
      <c r="E38" s="370"/>
      <c r="F38" s="365">
        <f>IF(ISBLANK(Tipologie!$B$19),"",SUM(F26:F37))</f>
        <v>0</v>
      </c>
      <c r="G38" s="370"/>
      <c r="H38" s="365">
        <f>IF(ISBLANK(Tipologie!$B$20),"",SUM(H26:H37))</f>
        <v>0</v>
      </c>
      <c r="I38" s="365"/>
      <c r="J38" s="363">
        <f>IF(ISBLANK(Tipologie!$B$21),"",SUM(J26:J37))</f>
        <v>0</v>
      </c>
      <c r="K38" s="363"/>
      <c r="L38" s="364">
        <f>IF(ISBLANK(Tipologie!$B$22),"",SUM(L26:L37))</f>
        <v>0</v>
      </c>
      <c r="M38" s="364"/>
      <c r="N38" s="363">
        <f>IF(ISBLANK(Tipologie!$B$23),"",SUM(N26:N37))</f>
        <v>0</v>
      </c>
      <c r="O38" s="363"/>
      <c r="P38" s="364">
        <f>IF(ISBLANK(Tipologie!$B$24),"",SUM(P26:P37))</f>
        <v>0</v>
      </c>
      <c r="Q38" s="364"/>
      <c r="R38" s="363">
        <f>IF(ISBLANK(Tipologie!$B$25),"",SUM(R26:R37))</f>
        <v>0</v>
      </c>
      <c r="S38" s="363"/>
      <c r="T38" s="364">
        <f>IF(ISBLANK(Tipologie!$B$26),"",SUM(T26:T37))</f>
        <v>0</v>
      </c>
      <c r="U38" s="364"/>
      <c r="V38" s="354">
        <f>IF(ISBLANK(Tipologie!$B$27),"",SUM(V26:V37))</f>
        <v>0</v>
      </c>
      <c r="W38" s="355"/>
      <c r="X38" s="361">
        <f>IF(ISBLANK(Tipologie!$B$28),"",SUM(X26:X37))</f>
        <v>0</v>
      </c>
      <c r="Y38" s="362"/>
      <c r="Z38" s="354">
        <f>IF(ISBLANK(Tipologie!$B$29),"",SUM(Z26:Z37))</f>
        <v>0</v>
      </c>
      <c r="AA38" s="355"/>
      <c r="AB38" s="359">
        <f>IF(ISBLANK(Tipologie!$B$30),"",SUM(AB26:AB37))</f>
        <v>0</v>
      </c>
      <c r="AC38" s="360"/>
      <c r="AD38" s="357">
        <f>IF(ISBLANK(Tipologie!$B$31),"",SUM(AD26:AD37))</f>
        <v>0</v>
      </c>
      <c r="AE38" s="358"/>
      <c r="AF38" s="356">
        <f>IF(ISBLANK(Tipologie!$B$32),"",SUM(AF26:AF37))</f>
        <v>0</v>
      </c>
      <c r="AG38" s="356"/>
      <c r="AH38" s="323">
        <f>IF(ISBLANK(Tipologie!$B$33),"",SUM(AH26:AH37))</f>
        <v>0</v>
      </c>
      <c r="AI38" s="323"/>
      <c r="AJ38" s="313">
        <f>IF(ISBLANK(Tipologie!$B$34),"",SUM(AJ26:AJ37))</f>
        <v>0</v>
      </c>
      <c r="AK38" s="313"/>
      <c r="AL38" s="323">
        <f>IF(ISBLANK(Tipologie!$B$35),"",SUM(AL26:AL37))</f>
        <v>0</v>
      </c>
      <c r="AM38" s="323"/>
      <c r="AN38" s="313">
        <f>IF(ISBLANK(Tipologie!$B$36),"",SUM(AN26:AN37))</f>
        <v>0</v>
      </c>
      <c r="AO38" s="313"/>
      <c r="AP38" s="323">
        <f>IF(ISBLANK(Tipologie!$B$37),"",SUM(AP26:AP37))</f>
        <v>0</v>
      </c>
      <c r="AQ38" s="323"/>
      <c r="AR38" s="313">
        <f>IF(ISBLANK(Tipologie!$B$38),"",SUM(AR26:AR37))</f>
        <v>0</v>
      </c>
      <c r="AS38" s="313"/>
      <c r="AT38" s="323">
        <f>IF(ISBLANK(Tipologie!$B$39),"",SUM(AT26:AT37))</f>
        <v>0</v>
      </c>
      <c r="AU38" s="323"/>
      <c r="AV38" s="43"/>
      <c r="AW38" s="339" t="s">
        <v>41</v>
      </c>
      <c r="AX38" s="339"/>
      <c r="AY38" s="339"/>
      <c r="AZ38" s="108">
        <f>Festività!Pasqua+1</f>
        <v>45768</v>
      </c>
      <c r="BA38" s="109" t="str">
        <f>IF(INDEX(Diario!E:E,MATCH(AZ38,Diario!C:C,0))="R","X","")</f>
        <v/>
      </c>
      <c r="BB38" s="444" t="str">
        <f>IF(INDEX(Diario!E:E,MATCH(AZ38,Diario!C:C,0))="FL","X","")</f>
        <v/>
      </c>
      <c r="BC38" s="445"/>
      <c r="BD38" s="109" t="str">
        <f>IF(INDEX(Diario!E:E,MATCH(AZ38,Diario!C:C,0))="F","X","")</f>
        <v/>
      </c>
      <c r="BE38" s="337"/>
      <c r="BF38" s="338"/>
      <c r="BG38" s="342"/>
      <c r="BH38" s="343"/>
      <c r="BJ38" s="203">
        <f>IF(ISBLANK(Tipologie!$B$20),"",SUM(BJ26:BJ37)+(BM38/2))</f>
        <v>0</v>
      </c>
      <c r="BK38" s="203">
        <f>IF(ISBLANK(Tipologie!$B$21),"",SUM(BK26:BK37)+(BL38/2))</f>
        <v>0</v>
      </c>
      <c r="BL38" s="203">
        <f>IF(ISBLANK(Tipologie!$B$38),"",SUM(BL26:BL37))</f>
        <v>0</v>
      </c>
      <c r="BM38" s="203">
        <f>IF(ISBLANK(Tipologie!$B$37),"",SUM(BM26:BM37))</f>
        <v>0</v>
      </c>
    </row>
    <row r="39" spans="1:65" ht="18" customHeight="1" x14ac:dyDescent="0.2">
      <c r="C39" s="93" t="s">
        <v>139</v>
      </c>
      <c r="D39" s="482">
        <f>D38+P38+F38+H38+J38+L38+N38+T38+V38++AB38+AD38+AF38+AH38+AN38+AJ38+AL38+AP38+AR38+AT38+X38</f>
        <v>0</v>
      </c>
      <c r="E39" s="483"/>
    </row>
    <row r="40" spans="1:65" ht="18" hidden="1" customHeight="1" x14ac:dyDescent="0.2">
      <c r="AX40" s="5"/>
      <c r="AZ40" s="5"/>
    </row>
    <row r="41" spans="1:65" ht="18" hidden="1" customHeight="1" x14ac:dyDescent="0.2"/>
    <row r="42" spans="1:65" ht="18" hidden="1" customHeight="1" x14ac:dyDescent="0.2">
      <c r="AW42" s="93"/>
      <c r="BA42" s="111"/>
      <c r="BE42" s="93"/>
      <c r="BG42" s="93"/>
    </row>
    <row r="43" spans="1:65" ht="18" hidden="1" customHeight="1" x14ac:dyDescent="0.2">
      <c r="A43" s="1">
        <v>1</v>
      </c>
      <c r="B43" s="1">
        <v>2</v>
      </c>
      <c r="AW43" s="93"/>
      <c r="BC43" s="111"/>
      <c r="BE43" s="111"/>
    </row>
    <row r="44" spans="1:65" ht="18" hidden="1" customHeight="1" x14ac:dyDescent="0.2">
      <c r="AE44" s="93"/>
      <c r="AV44" s="93"/>
      <c r="BC44" s="93"/>
    </row>
    <row r="45" spans="1:65" ht="18" hidden="1" customHeight="1" x14ac:dyDescent="0.2">
      <c r="AV45" s="93"/>
    </row>
    <row r="46" spans="1:65" ht="18" hidden="1" customHeight="1" x14ac:dyDescent="0.2"/>
    <row r="47" spans="1:65" ht="18" hidden="1" customHeight="1" x14ac:dyDescent="0.2">
      <c r="A47" s="1">
        <v>1</v>
      </c>
      <c r="B47" s="1">
        <v>2</v>
      </c>
      <c r="AE47" s="93"/>
      <c r="AV47" s="93"/>
    </row>
    <row r="48" spans="1:65" ht="18" hidden="1" customHeight="1" x14ac:dyDescent="0.2">
      <c r="AV48" s="93"/>
    </row>
    <row r="49" spans="12:12" ht="18" hidden="1" customHeight="1" x14ac:dyDescent="0.2"/>
    <row r="50" spans="12:12" ht="18" hidden="1" customHeight="1" x14ac:dyDescent="0.2"/>
    <row r="51" spans="12:12" ht="18" hidden="1" customHeight="1" x14ac:dyDescent="0.2"/>
    <row r="52" spans="12:12" ht="18" hidden="1" customHeight="1" x14ac:dyDescent="0.2"/>
    <row r="53" spans="12:12" ht="18" hidden="1" customHeight="1" x14ac:dyDescent="0.2"/>
    <row r="54" spans="12:12" ht="18" hidden="1" customHeight="1" x14ac:dyDescent="0.2"/>
    <row r="55" spans="12:12" ht="18" hidden="1" customHeight="1" x14ac:dyDescent="0.2"/>
    <row r="56" spans="12:12" ht="18" hidden="1" customHeight="1" x14ac:dyDescent="0.2"/>
    <row r="57" spans="12:12" ht="18" hidden="1" customHeight="1" x14ac:dyDescent="0.2">
      <c r="L57" s="112" t="s">
        <v>137</v>
      </c>
    </row>
    <row r="58" spans="12:12" ht="18" hidden="1" customHeight="1" x14ac:dyDescent="0.2"/>
    <row r="59" spans="12:12" ht="18" hidden="1" customHeight="1" x14ac:dyDescent="0.2"/>
    <row r="60" spans="12:12" ht="18" hidden="1" customHeight="1" x14ac:dyDescent="0.2"/>
    <row r="61" spans="12:12" ht="18" hidden="1" customHeight="1" x14ac:dyDescent="0.2"/>
    <row r="62" spans="12:12" ht="18" hidden="1" customHeight="1" x14ac:dyDescent="0.2"/>
    <row r="63" spans="12:12" ht="18" hidden="1" customHeight="1" x14ac:dyDescent="0.2"/>
    <row r="64" spans="12:12" ht="18" hidden="1" customHeight="1" x14ac:dyDescent="0.2"/>
    <row r="65" ht="18" hidden="1" customHeight="1" x14ac:dyDescent="0.2"/>
    <row r="66" ht="18" hidden="1" customHeight="1" x14ac:dyDescent="0.2"/>
    <row r="67" ht="18" hidden="1" customHeight="1" x14ac:dyDescent="0.2"/>
    <row r="68" ht="18" hidden="1" customHeight="1" x14ac:dyDescent="0.2"/>
    <row r="69" ht="18" hidden="1" customHeight="1" x14ac:dyDescent="0.2"/>
    <row r="70" ht="18" hidden="1" customHeight="1" x14ac:dyDescent="0.2"/>
    <row r="71" ht="18" hidden="1" customHeight="1" x14ac:dyDescent="0.2"/>
    <row r="72" ht="18" hidden="1" customHeight="1" x14ac:dyDescent="0.2"/>
    <row r="73" ht="18" hidden="1" customHeight="1" x14ac:dyDescent="0.2"/>
    <row r="74" ht="18" hidden="1" customHeight="1" x14ac:dyDescent="0.2"/>
    <row r="75" ht="18" hidden="1" customHeight="1" x14ac:dyDescent="0.2"/>
    <row r="76" ht="18" hidden="1" customHeight="1" x14ac:dyDescent="0.2"/>
    <row r="77" ht="18" hidden="1" customHeight="1" x14ac:dyDescent="0.2"/>
    <row r="78" ht="18" hidden="1" customHeight="1" x14ac:dyDescent="0.2"/>
    <row r="79" ht="18" hidden="1" customHeight="1" x14ac:dyDescent="0.2"/>
    <row r="80" ht="18" hidden="1" customHeight="1" x14ac:dyDescent="0.2"/>
    <row r="81" ht="18" hidden="1" customHeight="1" x14ac:dyDescent="0.2"/>
    <row r="82" ht="18" hidden="1" customHeight="1" x14ac:dyDescent="0.2"/>
    <row r="83" ht="18" hidden="1" customHeight="1" x14ac:dyDescent="0.2"/>
    <row r="84" ht="18" hidden="1" customHeight="1" x14ac:dyDescent="0.2"/>
    <row r="85" ht="18" hidden="1" customHeight="1" x14ac:dyDescent="0.2"/>
    <row r="86" ht="18" hidden="1" customHeight="1" x14ac:dyDescent="0.2"/>
    <row r="87" ht="18" hidden="1" customHeight="1" x14ac:dyDescent="0.2"/>
    <row r="88" ht="18" hidden="1" customHeight="1" x14ac:dyDescent="0.2"/>
    <row r="89" ht="18" hidden="1" customHeight="1" x14ac:dyDescent="0.2"/>
    <row r="90" ht="18" hidden="1" customHeight="1" x14ac:dyDescent="0.2"/>
    <row r="91" ht="18" hidden="1" customHeight="1" x14ac:dyDescent="0.2"/>
    <row r="92" ht="18" hidden="1" customHeight="1" x14ac:dyDescent="0.2"/>
    <row r="93" ht="18" hidden="1" customHeight="1" x14ac:dyDescent="0.2"/>
    <row r="94" ht="18" hidden="1" customHeight="1" x14ac:dyDescent="0.2"/>
    <row r="95" ht="18" hidden="1" customHeight="1" x14ac:dyDescent="0.2"/>
    <row r="96" ht="18" hidden="1" customHeight="1" x14ac:dyDescent="0.2"/>
    <row r="97" ht="18" hidden="1" customHeight="1" x14ac:dyDescent="0.2"/>
    <row r="98" ht="18" hidden="1" customHeight="1" x14ac:dyDescent="0.2"/>
    <row r="99" ht="18" hidden="1" customHeight="1" x14ac:dyDescent="0.2"/>
    <row r="100" ht="18" hidden="1" customHeight="1" x14ac:dyDescent="0.2"/>
    <row r="101" ht="18" hidden="1" customHeight="1" x14ac:dyDescent="0.2"/>
    <row r="102" ht="18" hidden="1" customHeight="1" x14ac:dyDescent="0.2"/>
    <row r="103" ht="18" hidden="1" customHeight="1" x14ac:dyDescent="0.2"/>
    <row r="104" ht="18" hidden="1" customHeight="1" x14ac:dyDescent="0.2"/>
    <row r="105" ht="18" hidden="1" customHeight="1" x14ac:dyDescent="0.2"/>
    <row r="106" ht="18" hidden="1" customHeight="1" x14ac:dyDescent="0.2"/>
    <row r="107" ht="18" hidden="1" customHeight="1" x14ac:dyDescent="0.2"/>
    <row r="108" ht="18" hidden="1" customHeight="1" x14ac:dyDescent="0.2"/>
    <row r="109" ht="18" hidden="1" customHeight="1" x14ac:dyDescent="0.2"/>
    <row r="110" ht="18" hidden="1" customHeight="1" x14ac:dyDescent="0.2"/>
    <row r="111" ht="18" hidden="1" customHeight="1" x14ac:dyDescent="0.2"/>
    <row r="112" ht="18" hidden="1" customHeight="1" x14ac:dyDescent="0.2"/>
    <row r="113" ht="18" hidden="1" customHeight="1" x14ac:dyDescent="0.2"/>
    <row r="114" ht="18" hidden="1" customHeight="1" x14ac:dyDescent="0.2"/>
    <row r="115" ht="18" hidden="1" customHeight="1" x14ac:dyDescent="0.2"/>
    <row r="116" ht="18" hidden="1" customHeight="1" x14ac:dyDescent="0.2"/>
    <row r="117" ht="18" hidden="1" customHeight="1" x14ac:dyDescent="0.2"/>
    <row r="118" ht="18" hidden="1" customHeight="1" x14ac:dyDescent="0.2"/>
    <row r="119" ht="18" hidden="1" customHeight="1" x14ac:dyDescent="0.2"/>
    <row r="120" ht="18" hidden="1" customHeight="1" x14ac:dyDescent="0.2"/>
    <row r="121" ht="18" hidden="1" customHeight="1" x14ac:dyDescent="0.2"/>
    <row r="122" ht="18" hidden="1" customHeight="1" x14ac:dyDescent="0.2"/>
    <row r="123" ht="18" hidden="1" customHeight="1" x14ac:dyDescent="0.2"/>
    <row r="124" ht="18" hidden="1" customHeight="1" x14ac:dyDescent="0.2"/>
    <row r="125" ht="18" hidden="1" customHeight="1" x14ac:dyDescent="0.2"/>
    <row r="126" ht="18" hidden="1" customHeight="1" x14ac:dyDescent="0.2"/>
    <row r="127" ht="18" hidden="1" customHeight="1" x14ac:dyDescent="0.2"/>
    <row r="128" ht="18" hidden="1" customHeight="1" x14ac:dyDescent="0.2"/>
    <row r="129" ht="18" hidden="1" customHeight="1" x14ac:dyDescent="0.2"/>
    <row r="130" ht="18" hidden="1" customHeight="1" x14ac:dyDescent="0.2"/>
    <row r="131" ht="18" hidden="1" customHeight="1" x14ac:dyDescent="0.2"/>
    <row r="132" ht="18" hidden="1" customHeight="1" x14ac:dyDescent="0.2"/>
    <row r="133" ht="18" hidden="1" customHeight="1" x14ac:dyDescent="0.2"/>
    <row r="134" ht="18" hidden="1" customHeight="1" x14ac:dyDescent="0.2"/>
    <row r="135" ht="18" hidden="1" customHeight="1" x14ac:dyDescent="0.2"/>
    <row r="136" ht="18" hidden="1" customHeight="1" x14ac:dyDescent="0.2"/>
    <row r="137" ht="18" hidden="1" customHeight="1" x14ac:dyDescent="0.2"/>
    <row r="138" ht="18" hidden="1" customHeight="1" x14ac:dyDescent="0.2"/>
    <row r="139" ht="18" hidden="1" customHeight="1" x14ac:dyDescent="0.2"/>
    <row r="140" ht="18" hidden="1" customHeight="1" x14ac:dyDescent="0.2"/>
    <row r="141" ht="18" hidden="1" customHeight="1" x14ac:dyDescent="0.2"/>
    <row r="142" ht="18" hidden="1" customHeight="1" x14ac:dyDescent="0.2"/>
    <row r="143" ht="18" hidden="1" customHeight="1" x14ac:dyDescent="0.2"/>
    <row r="144" ht="18" hidden="1" customHeight="1" x14ac:dyDescent="0.2"/>
    <row r="145" spans="12:12" ht="18" hidden="1" customHeight="1" x14ac:dyDescent="0.2"/>
    <row r="146" spans="12:12" ht="18" hidden="1" customHeight="1" x14ac:dyDescent="0.2">
      <c r="L146" s="112" t="s">
        <v>138</v>
      </c>
    </row>
    <row r="147" spans="12:12" ht="18" hidden="1" customHeight="1" x14ac:dyDescent="0.2"/>
    <row r="148" spans="12:12" ht="18" hidden="1" customHeight="1" x14ac:dyDescent="0.2"/>
    <row r="149" spans="12:12" ht="18" hidden="1" customHeight="1" x14ac:dyDescent="0.2"/>
    <row r="150" spans="12:12" ht="18" hidden="1" customHeight="1" x14ac:dyDescent="0.2"/>
    <row r="151" spans="12:12" ht="18" hidden="1" customHeight="1" x14ac:dyDescent="0.2"/>
    <row r="152" spans="12:12" ht="18" hidden="1" customHeight="1" x14ac:dyDescent="0.2"/>
    <row r="153" spans="12:12" ht="18" hidden="1" customHeight="1" x14ac:dyDescent="0.2"/>
    <row r="154" spans="12:12" ht="18" hidden="1" customHeight="1" x14ac:dyDescent="0.2"/>
    <row r="155" spans="12:12" ht="18" hidden="1" customHeight="1" x14ac:dyDescent="0.2"/>
    <row r="156" spans="12:12" ht="18" hidden="1" customHeight="1" x14ac:dyDescent="0.2"/>
    <row r="157" spans="12:12" ht="18" hidden="1" customHeight="1" x14ac:dyDescent="0.2"/>
    <row r="158" spans="12:12" ht="18" hidden="1" customHeight="1" x14ac:dyDescent="0.2"/>
    <row r="159" spans="12:12" ht="18" hidden="1" customHeight="1" x14ac:dyDescent="0.2"/>
    <row r="160" spans="12:12" ht="18" hidden="1" customHeight="1" x14ac:dyDescent="0.2"/>
    <row r="161" ht="18" hidden="1" customHeight="1" x14ac:dyDescent="0.2"/>
    <row r="162" ht="18" hidden="1" customHeight="1" x14ac:dyDescent="0.2"/>
    <row r="163" ht="18" hidden="1" customHeight="1" x14ac:dyDescent="0.2"/>
    <row r="164" ht="18" hidden="1" customHeight="1" x14ac:dyDescent="0.2"/>
    <row r="165" ht="18" hidden="1" customHeight="1" x14ac:dyDescent="0.2"/>
    <row r="166" ht="18" hidden="1" customHeight="1" x14ac:dyDescent="0.2"/>
    <row r="167" ht="18" hidden="1" customHeight="1" x14ac:dyDescent="0.2"/>
    <row r="168" ht="18" hidden="1" customHeight="1" x14ac:dyDescent="0.2"/>
    <row r="169" ht="18" hidden="1" customHeight="1" x14ac:dyDescent="0.2"/>
    <row r="170" ht="18" hidden="1" customHeight="1" x14ac:dyDescent="0.2"/>
    <row r="171" ht="18" hidden="1" customHeight="1" x14ac:dyDescent="0.2"/>
    <row r="172" ht="18" hidden="1" customHeight="1" x14ac:dyDescent="0.2"/>
    <row r="173" ht="18" hidden="1" customHeight="1" x14ac:dyDescent="0.2"/>
    <row r="174" ht="18" hidden="1" customHeight="1" x14ac:dyDescent="0.2"/>
    <row r="175" ht="18" hidden="1" customHeight="1" x14ac:dyDescent="0.2"/>
    <row r="176" ht="18" hidden="1" customHeight="1" x14ac:dyDescent="0.2"/>
    <row r="177" ht="18" hidden="1" customHeight="1" x14ac:dyDescent="0.2"/>
    <row r="178" ht="18" hidden="1" customHeight="1" x14ac:dyDescent="0.2"/>
    <row r="179" ht="18" hidden="1" customHeight="1" x14ac:dyDescent="0.2"/>
    <row r="180" ht="18" hidden="1" customHeight="1" x14ac:dyDescent="0.2"/>
    <row r="181" ht="18" hidden="1" customHeight="1" x14ac:dyDescent="0.2"/>
    <row r="182" ht="18" hidden="1" customHeight="1" x14ac:dyDescent="0.2"/>
    <row r="183" ht="18" hidden="1" customHeight="1" x14ac:dyDescent="0.2"/>
    <row r="184" ht="18" hidden="1" customHeight="1" x14ac:dyDescent="0.2"/>
    <row r="185" ht="18" hidden="1" customHeight="1" x14ac:dyDescent="0.2"/>
    <row r="186" ht="18" hidden="1" customHeight="1" x14ac:dyDescent="0.2"/>
    <row r="187" ht="18" hidden="1" customHeight="1" x14ac:dyDescent="0.2"/>
    <row r="188" ht="18" hidden="1" customHeight="1" x14ac:dyDescent="0.2"/>
    <row r="189" ht="18" hidden="1" customHeight="1" x14ac:dyDescent="0.2"/>
    <row r="190" ht="18" hidden="1" customHeight="1" x14ac:dyDescent="0.2"/>
    <row r="191" ht="18" hidden="1" customHeight="1" x14ac:dyDescent="0.2"/>
    <row r="192" ht="18" hidden="1" customHeight="1" x14ac:dyDescent="0.2"/>
    <row r="193" ht="18" hidden="1" customHeight="1" x14ac:dyDescent="0.2"/>
    <row r="194" ht="18" hidden="1" customHeight="1" x14ac:dyDescent="0.2"/>
    <row r="195" ht="18" hidden="1" customHeight="1" x14ac:dyDescent="0.2"/>
    <row r="196" ht="18" hidden="1" customHeight="1" x14ac:dyDescent="0.2"/>
    <row r="197" ht="18" hidden="1" customHeight="1" x14ac:dyDescent="0.2"/>
    <row r="198" ht="18" hidden="1" customHeight="1" x14ac:dyDescent="0.2"/>
    <row r="199" ht="18" hidden="1" customHeight="1" x14ac:dyDescent="0.2"/>
    <row r="200" ht="18" hidden="1" customHeight="1" x14ac:dyDescent="0.2"/>
    <row r="201" ht="18" hidden="1" customHeight="1" x14ac:dyDescent="0.2"/>
    <row r="202" ht="18" hidden="1" customHeight="1" x14ac:dyDescent="0.2"/>
    <row r="203" ht="18" hidden="1" customHeight="1" x14ac:dyDescent="0.2"/>
    <row r="204" ht="18" hidden="1" customHeight="1" x14ac:dyDescent="0.2"/>
    <row r="205" ht="18" hidden="1" customHeight="1" x14ac:dyDescent="0.2"/>
    <row r="206" ht="18" hidden="1" customHeight="1" x14ac:dyDescent="0.2"/>
    <row r="207" ht="18" hidden="1" customHeight="1" x14ac:dyDescent="0.2"/>
    <row r="208" ht="18" hidden="1" customHeight="1" x14ac:dyDescent="0.2"/>
    <row r="209" ht="18" hidden="1" customHeight="1" x14ac:dyDescent="0.2"/>
    <row r="210" ht="18" hidden="1" customHeight="1" x14ac:dyDescent="0.2"/>
    <row r="211" ht="18" hidden="1" customHeight="1" x14ac:dyDescent="0.2"/>
    <row r="212" ht="18" hidden="1" customHeight="1" x14ac:dyDescent="0.2"/>
    <row r="213" ht="18" hidden="1" customHeight="1" x14ac:dyDescent="0.2"/>
    <row r="214" ht="18" hidden="1" customHeight="1" x14ac:dyDescent="0.2"/>
    <row r="215" ht="18" hidden="1" customHeight="1" x14ac:dyDescent="0.2"/>
    <row r="216" ht="18" hidden="1" customHeight="1" x14ac:dyDescent="0.2"/>
    <row r="217" ht="18" hidden="1" customHeight="1" x14ac:dyDescent="0.2"/>
    <row r="218" ht="18" hidden="1" customHeight="1" x14ac:dyDescent="0.2"/>
    <row r="219" ht="18" hidden="1" customHeight="1" x14ac:dyDescent="0.2"/>
    <row r="220" ht="18" hidden="1" customHeight="1" x14ac:dyDescent="0.2"/>
    <row r="221" ht="18" hidden="1" customHeight="1" x14ac:dyDescent="0.2"/>
    <row r="222" ht="18" hidden="1" customHeight="1" x14ac:dyDescent="0.2"/>
    <row r="223" ht="18" hidden="1" customHeight="1" x14ac:dyDescent="0.2"/>
    <row r="224" ht="18" hidden="1" customHeight="1" x14ac:dyDescent="0.2"/>
    <row r="225" ht="18" hidden="1" customHeight="1" x14ac:dyDescent="0.2"/>
    <row r="226" ht="18" hidden="1" customHeight="1" x14ac:dyDescent="0.2"/>
    <row r="227" ht="18" hidden="1" customHeight="1" x14ac:dyDescent="0.2"/>
    <row r="228" ht="18" hidden="1" customHeight="1" x14ac:dyDescent="0.2"/>
    <row r="229" ht="18" hidden="1" customHeight="1" x14ac:dyDescent="0.2"/>
    <row r="230" ht="18" hidden="1" customHeight="1" x14ac:dyDescent="0.2"/>
    <row r="231" ht="18" hidden="1" customHeight="1" x14ac:dyDescent="0.2"/>
    <row r="232" ht="18" hidden="1" customHeight="1" x14ac:dyDescent="0.2"/>
    <row r="233" ht="18" hidden="1" customHeight="1" x14ac:dyDescent="0.2"/>
    <row r="234" ht="18" hidden="1" customHeight="1" x14ac:dyDescent="0.2"/>
    <row r="235" ht="18" hidden="1" customHeight="1" x14ac:dyDescent="0.2"/>
    <row r="236" ht="18" hidden="1" customHeight="1" x14ac:dyDescent="0.2"/>
    <row r="237" ht="18" hidden="1" customHeight="1" x14ac:dyDescent="0.2"/>
    <row r="238" ht="18" hidden="1" customHeight="1" x14ac:dyDescent="0.2"/>
    <row r="239" ht="18" hidden="1" customHeight="1" x14ac:dyDescent="0.2"/>
    <row r="240" ht="18" hidden="1" customHeight="1" x14ac:dyDescent="0.2"/>
    <row r="241" ht="18" hidden="1" customHeight="1" x14ac:dyDescent="0.2"/>
    <row r="242" ht="18" hidden="1" customHeight="1" x14ac:dyDescent="0.2"/>
    <row r="243" ht="18" hidden="1" customHeight="1" x14ac:dyDescent="0.2"/>
    <row r="244" ht="18" hidden="1" customHeight="1" x14ac:dyDescent="0.2"/>
    <row r="245" ht="18" hidden="1" customHeight="1" x14ac:dyDescent="0.2"/>
    <row r="246" ht="18" hidden="1" customHeight="1" x14ac:dyDescent="0.2"/>
    <row r="247" ht="18" hidden="1" customHeight="1" x14ac:dyDescent="0.2"/>
    <row r="248" ht="18" hidden="1" customHeight="1" x14ac:dyDescent="0.2"/>
    <row r="249" ht="18" hidden="1" customHeight="1" x14ac:dyDescent="0.2"/>
    <row r="250" ht="18" hidden="1" customHeight="1" x14ac:dyDescent="0.2"/>
    <row r="251" ht="18" hidden="1" customHeight="1" x14ac:dyDescent="0.2"/>
    <row r="252" ht="18" hidden="1" customHeight="1" x14ac:dyDescent="0.2"/>
    <row r="253" ht="18" hidden="1" customHeight="1" x14ac:dyDescent="0.2"/>
    <row r="254" ht="18" hidden="1" customHeight="1" x14ac:dyDescent="0.2"/>
    <row r="255" ht="18" hidden="1" customHeight="1" x14ac:dyDescent="0.2"/>
    <row r="256" ht="18" hidden="1" customHeight="1" x14ac:dyDescent="0.2"/>
    <row r="257" ht="18" hidden="1" customHeight="1" x14ac:dyDescent="0.2"/>
    <row r="258" ht="18" hidden="1" customHeight="1" x14ac:dyDescent="0.2"/>
    <row r="259" ht="18" hidden="1" customHeight="1" x14ac:dyDescent="0.2"/>
    <row r="260" ht="18" hidden="1" customHeight="1" x14ac:dyDescent="0.2"/>
    <row r="261" ht="18" hidden="1" customHeight="1" x14ac:dyDescent="0.2"/>
    <row r="262" ht="18" hidden="1" customHeight="1" x14ac:dyDescent="0.2"/>
    <row r="263" ht="18" hidden="1" customHeight="1" x14ac:dyDescent="0.2"/>
    <row r="264" ht="18" hidden="1" customHeight="1" x14ac:dyDescent="0.2"/>
    <row r="265" ht="18" hidden="1" customHeight="1" x14ac:dyDescent="0.2"/>
    <row r="266" ht="18" hidden="1" customHeight="1" x14ac:dyDescent="0.2"/>
    <row r="267" ht="18" hidden="1" customHeight="1" x14ac:dyDescent="0.2"/>
    <row r="268" ht="18" hidden="1" customHeight="1" x14ac:dyDescent="0.2"/>
    <row r="269" ht="18" hidden="1" customHeight="1" x14ac:dyDescent="0.2"/>
    <row r="270" ht="18" hidden="1" customHeight="1" x14ac:dyDescent="0.2"/>
    <row r="271" ht="18" hidden="1" customHeight="1" x14ac:dyDescent="0.2"/>
    <row r="272" ht="18" hidden="1" customHeight="1" x14ac:dyDescent="0.2"/>
    <row r="273" ht="18" hidden="1" customHeight="1" x14ac:dyDescent="0.2"/>
    <row r="274" ht="18" hidden="1" customHeight="1" x14ac:dyDescent="0.2"/>
    <row r="275" ht="18" hidden="1" customHeight="1" x14ac:dyDescent="0.2"/>
    <row r="276" ht="18" hidden="1" customHeight="1" x14ac:dyDescent="0.2"/>
    <row r="277" ht="18" hidden="1" customHeight="1" x14ac:dyDescent="0.2"/>
    <row r="278" ht="18" hidden="1" customHeight="1" x14ac:dyDescent="0.2"/>
    <row r="279" ht="18" hidden="1" customHeight="1" x14ac:dyDescent="0.2"/>
    <row r="280" ht="18" hidden="1" customHeight="1" x14ac:dyDescent="0.2"/>
    <row r="281" ht="18" hidden="1" customHeight="1" x14ac:dyDescent="0.2"/>
    <row r="282" ht="18" hidden="1" customHeight="1" x14ac:dyDescent="0.2"/>
    <row r="283" ht="18" hidden="1" customHeight="1" x14ac:dyDescent="0.2"/>
    <row r="284" ht="18" hidden="1" customHeight="1" x14ac:dyDescent="0.2"/>
    <row r="285" ht="18" hidden="1" customHeight="1" x14ac:dyDescent="0.2"/>
    <row r="286" ht="18" hidden="1" customHeight="1" x14ac:dyDescent="0.2"/>
    <row r="287" ht="18" hidden="1" customHeight="1" x14ac:dyDescent="0.2"/>
    <row r="288" ht="18" hidden="1" customHeight="1" x14ac:dyDescent="0.2"/>
    <row r="289" ht="18" hidden="1" customHeight="1" x14ac:dyDescent="0.2"/>
    <row r="290" ht="18" hidden="1" customHeight="1" x14ac:dyDescent="0.2"/>
    <row r="291" ht="18" hidden="1" customHeight="1" x14ac:dyDescent="0.2"/>
    <row r="292" ht="18" hidden="1" customHeight="1" x14ac:dyDescent="0.2"/>
    <row r="293" ht="18" hidden="1" customHeight="1" x14ac:dyDescent="0.2"/>
    <row r="294" ht="18" hidden="1" customHeight="1" x14ac:dyDescent="0.2"/>
    <row r="295" ht="18" hidden="1" customHeight="1" x14ac:dyDescent="0.2"/>
    <row r="296" ht="18" hidden="1" customHeight="1" x14ac:dyDescent="0.2"/>
    <row r="297" ht="18" hidden="1" customHeight="1" x14ac:dyDescent="0.2"/>
    <row r="298" ht="18" hidden="1" customHeight="1" x14ac:dyDescent="0.2"/>
    <row r="299" ht="18" hidden="1" customHeight="1" x14ac:dyDescent="0.2"/>
    <row r="300" ht="18" hidden="1" customHeight="1" x14ac:dyDescent="0.2"/>
    <row r="301" ht="18" hidden="1" customHeight="1" x14ac:dyDescent="0.2"/>
    <row r="302" ht="18" hidden="1" customHeight="1" x14ac:dyDescent="0.2"/>
    <row r="303" ht="18" hidden="1" customHeight="1" x14ac:dyDescent="0.2"/>
    <row r="304" ht="18" hidden="1" customHeight="1" x14ac:dyDescent="0.2"/>
    <row r="305" ht="18" hidden="1" customHeight="1" x14ac:dyDescent="0.2"/>
    <row r="306" ht="18" hidden="1" customHeight="1" x14ac:dyDescent="0.2"/>
    <row r="307" ht="18" hidden="1" customHeight="1" x14ac:dyDescent="0.2"/>
    <row r="308" ht="18" hidden="1" customHeight="1" x14ac:dyDescent="0.2"/>
    <row r="309" ht="18" hidden="1" customHeight="1" x14ac:dyDescent="0.2"/>
    <row r="310" ht="18" hidden="1" customHeight="1" x14ac:dyDescent="0.2"/>
    <row r="311" ht="18" hidden="1" customHeight="1" x14ac:dyDescent="0.2"/>
    <row r="312" ht="18" hidden="1" customHeight="1" x14ac:dyDescent="0.2"/>
    <row r="313" ht="18" hidden="1" customHeight="1" x14ac:dyDescent="0.2"/>
    <row r="314" ht="18" hidden="1" customHeight="1" x14ac:dyDescent="0.2"/>
    <row r="315" ht="18" hidden="1" customHeight="1" x14ac:dyDescent="0.2"/>
    <row r="316" ht="18" hidden="1" customHeight="1" x14ac:dyDescent="0.2"/>
    <row r="317" ht="18" hidden="1" customHeight="1" x14ac:dyDescent="0.2"/>
    <row r="318" ht="18" hidden="1" customHeight="1" x14ac:dyDescent="0.2"/>
    <row r="319" ht="18" hidden="1" customHeight="1" x14ac:dyDescent="0.2"/>
    <row r="320" ht="18" hidden="1" customHeight="1" x14ac:dyDescent="0.2"/>
    <row r="321" ht="18" hidden="1" customHeight="1" x14ac:dyDescent="0.2"/>
    <row r="322" ht="18" hidden="1" customHeight="1" x14ac:dyDescent="0.2"/>
    <row r="323" ht="18" hidden="1" customHeight="1" x14ac:dyDescent="0.2"/>
    <row r="324" ht="18" hidden="1" customHeight="1" x14ac:dyDescent="0.2"/>
    <row r="325" ht="18" hidden="1" customHeight="1" x14ac:dyDescent="0.2"/>
    <row r="326" ht="18" hidden="1" customHeight="1" x14ac:dyDescent="0.2"/>
    <row r="327" ht="18" hidden="1" customHeight="1" x14ac:dyDescent="0.2"/>
    <row r="328" ht="18" hidden="1" customHeight="1" x14ac:dyDescent="0.2"/>
    <row r="329" ht="18" hidden="1" customHeight="1" x14ac:dyDescent="0.2"/>
    <row r="330" ht="18" hidden="1" customHeight="1" x14ac:dyDescent="0.2"/>
    <row r="331" ht="18" hidden="1" customHeight="1" x14ac:dyDescent="0.2"/>
    <row r="332" ht="18" hidden="1" customHeight="1" x14ac:dyDescent="0.2"/>
    <row r="333" ht="18" hidden="1" customHeight="1" x14ac:dyDescent="0.2"/>
    <row r="334" ht="18" hidden="1" customHeight="1" x14ac:dyDescent="0.2"/>
    <row r="335" ht="18" hidden="1" customHeight="1" x14ac:dyDescent="0.2"/>
    <row r="336" ht="18" hidden="1" customHeight="1" x14ac:dyDescent="0.2"/>
    <row r="337" ht="18" hidden="1" customHeight="1" x14ac:dyDescent="0.2"/>
    <row r="338" ht="18" hidden="1" customHeight="1" x14ac:dyDescent="0.2"/>
    <row r="339" ht="18" hidden="1" customHeight="1" x14ac:dyDescent="0.2"/>
    <row r="340" ht="18" hidden="1" customHeight="1" x14ac:dyDescent="0.2"/>
    <row r="341" ht="18" hidden="1" customHeight="1" x14ac:dyDescent="0.2"/>
    <row r="342" ht="18" hidden="1" customHeight="1" x14ac:dyDescent="0.2"/>
    <row r="343" ht="18" hidden="1" customHeight="1" x14ac:dyDescent="0.2"/>
    <row r="344" ht="18" hidden="1" customHeight="1" x14ac:dyDescent="0.2"/>
    <row r="345" ht="18" hidden="1" customHeight="1" x14ac:dyDescent="0.2"/>
    <row r="346" ht="18" hidden="1" customHeight="1" x14ac:dyDescent="0.2"/>
    <row r="347" ht="18" hidden="1" customHeight="1" x14ac:dyDescent="0.2"/>
    <row r="348" ht="18" hidden="1" customHeight="1" x14ac:dyDescent="0.2"/>
    <row r="349" ht="18" hidden="1" customHeight="1" x14ac:dyDescent="0.2"/>
    <row r="350" ht="18" hidden="1" customHeight="1" x14ac:dyDescent="0.2"/>
    <row r="351" ht="18" hidden="1" customHeight="1" x14ac:dyDescent="0.2"/>
    <row r="352" ht="18" hidden="1" customHeight="1" x14ac:dyDescent="0.2"/>
    <row r="353" ht="18" hidden="1" customHeight="1" x14ac:dyDescent="0.2"/>
    <row r="354" ht="18" hidden="1" customHeight="1" x14ac:dyDescent="0.2"/>
    <row r="355" ht="18" hidden="1" customHeight="1" x14ac:dyDescent="0.2"/>
    <row r="356" ht="18" hidden="1" customHeight="1" x14ac:dyDescent="0.2"/>
    <row r="357" ht="18" hidden="1" customHeight="1" x14ac:dyDescent="0.2"/>
    <row r="358" ht="18" hidden="1" customHeight="1" x14ac:dyDescent="0.2"/>
    <row r="359" ht="18" hidden="1" customHeight="1" x14ac:dyDescent="0.2"/>
    <row r="360" ht="18" hidden="1" customHeight="1" x14ac:dyDescent="0.2"/>
    <row r="361" ht="18" hidden="1" customHeight="1" x14ac:dyDescent="0.2"/>
    <row r="362" ht="18" hidden="1" customHeight="1" x14ac:dyDescent="0.2"/>
    <row r="363" ht="18" hidden="1" customHeight="1" x14ac:dyDescent="0.2"/>
    <row r="364" ht="18" hidden="1" customHeight="1" x14ac:dyDescent="0.2"/>
    <row r="365" ht="18" hidden="1" customHeight="1" x14ac:dyDescent="0.2"/>
    <row r="366" ht="18" hidden="1" customHeight="1" x14ac:dyDescent="0.2"/>
    <row r="367" ht="18" hidden="1" customHeight="1" x14ac:dyDescent="0.2"/>
    <row r="368" ht="18" hidden="1" customHeight="1" x14ac:dyDescent="0.2"/>
    <row r="369" spans="244:246" ht="18" hidden="1" customHeight="1" x14ac:dyDescent="0.2"/>
    <row r="370" spans="244:246" ht="18" hidden="1" customHeight="1" x14ac:dyDescent="0.2"/>
    <row r="371" spans="244:246" ht="18" hidden="1" customHeight="1" x14ac:dyDescent="0.2"/>
    <row r="372" spans="244:246" ht="18" hidden="1" customHeight="1" x14ac:dyDescent="0.2"/>
    <row r="373" spans="244:246" ht="18" hidden="1" customHeight="1" x14ac:dyDescent="0.2"/>
    <row r="374" spans="244:246" ht="18" hidden="1" customHeight="1" x14ac:dyDescent="0.2"/>
    <row r="375" spans="244:246" ht="18" hidden="1" customHeight="1" x14ac:dyDescent="0.2"/>
    <row r="376" spans="244:246" ht="18" hidden="1" customHeight="1" x14ac:dyDescent="0.2"/>
    <row r="377" spans="244:246" ht="18" hidden="1" customHeight="1" x14ac:dyDescent="0.2"/>
    <row r="378" spans="244:246" ht="18" hidden="1" customHeight="1" x14ac:dyDescent="0.2"/>
    <row r="379" spans="244:246" s="113" customFormat="1" ht="18" hidden="1" customHeight="1" x14ac:dyDescent="0.2"/>
    <row r="381" spans="244:246" ht="12.95" hidden="1" customHeight="1" x14ac:dyDescent="0.2">
      <c r="IJ381" s="452"/>
      <c r="IK381" s="453"/>
      <c r="IL381" s="484"/>
    </row>
    <row r="382" spans="244:246" ht="12.95" hidden="1" customHeight="1" x14ac:dyDescent="0.2">
      <c r="IJ382" s="454"/>
      <c r="IK382" s="455"/>
      <c r="IL382" s="485"/>
    </row>
    <row r="383" spans="244:246" ht="20.25" hidden="1" x14ac:dyDescent="0.2">
      <c r="IJ383" s="114"/>
      <c r="IK383" s="114"/>
      <c r="IL383" s="114"/>
    </row>
    <row r="384" spans="244:246" ht="15.75" hidden="1" x14ac:dyDescent="0.2">
      <c r="IJ384" s="341"/>
      <c r="IK384" s="341"/>
      <c r="IL384" s="341"/>
    </row>
    <row r="385" spans="244:246" ht="15.75" hidden="1" x14ac:dyDescent="0.2">
      <c r="IJ385" s="341"/>
      <c r="IK385" s="341"/>
      <c r="IL385" s="341"/>
    </row>
    <row r="386" spans="244:246" ht="15.75" hidden="1" x14ac:dyDescent="0.2">
      <c r="IJ386" s="341"/>
      <c r="IK386" s="341"/>
      <c r="IL386" s="341"/>
    </row>
    <row r="387" spans="244:246" ht="15.75" hidden="1" x14ac:dyDescent="0.2">
      <c r="IJ387" s="341"/>
      <c r="IK387" s="341"/>
      <c r="IL387" s="341"/>
    </row>
    <row r="388" spans="244:246" ht="15.75" hidden="1" x14ac:dyDescent="0.2">
      <c r="IJ388" s="341"/>
      <c r="IK388" s="341"/>
      <c r="IL388" s="341"/>
    </row>
    <row r="389" spans="244:246" ht="15.75" hidden="1" x14ac:dyDescent="0.2">
      <c r="IJ389" s="341"/>
      <c r="IK389" s="341"/>
      <c r="IL389" s="341"/>
    </row>
    <row r="390" spans="244:246" ht="15.75" hidden="1" x14ac:dyDescent="0.2">
      <c r="IJ390" s="341"/>
      <c r="IK390" s="341"/>
      <c r="IL390" s="341"/>
    </row>
    <row r="391" spans="244:246" ht="15.75" hidden="1" x14ac:dyDescent="0.2">
      <c r="IJ391" s="341"/>
      <c r="IK391" s="341"/>
      <c r="IL391" s="341"/>
    </row>
    <row r="392" spans="244:246" ht="15.75" hidden="1" x14ac:dyDescent="0.2">
      <c r="IJ392" s="341"/>
      <c r="IK392" s="341"/>
      <c r="IL392" s="341"/>
    </row>
    <row r="393" spans="244:246" ht="15.75" hidden="1" x14ac:dyDescent="0.2">
      <c r="IJ393" s="486"/>
      <c r="IK393" s="487"/>
      <c r="IL393" s="487"/>
    </row>
    <row r="394" spans="244:246" ht="15.75" hidden="1" x14ac:dyDescent="0.2">
      <c r="IJ394" s="335"/>
      <c r="IK394" s="336"/>
      <c r="IL394" s="336"/>
    </row>
    <row r="395" spans="244:246" ht="15.75" hidden="1" x14ac:dyDescent="0.2">
      <c r="IJ395" s="335"/>
      <c r="IK395" s="336"/>
      <c r="IL395" s="336"/>
    </row>
    <row r="396" spans="244:246" ht="15.75" hidden="1" x14ac:dyDescent="0.2">
      <c r="IJ396" s="335"/>
      <c r="IK396" s="336"/>
      <c r="IL396" s="336"/>
    </row>
    <row r="397" spans="244:246" ht="15.75" hidden="1" x14ac:dyDescent="0.2">
      <c r="IJ397" s="335"/>
      <c r="IK397" s="336"/>
      <c r="IL397" s="336"/>
    </row>
    <row r="398" spans="244:246" ht="15.75" hidden="1" x14ac:dyDescent="0.2">
      <c r="IJ398" s="335"/>
      <c r="IK398" s="336"/>
      <c r="IL398" s="336"/>
    </row>
    <row r="399" spans="244:246" ht="15.75" hidden="1" x14ac:dyDescent="0.2">
      <c r="IJ399" s="335"/>
      <c r="IK399" s="336"/>
      <c r="IL399" s="336"/>
    </row>
    <row r="400" spans="244:246" ht="15.75" hidden="1" x14ac:dyDescent="0.2">
      <c r="IJ400" s="335"/>
      <c r="IK400" s="336"/>
      <c r="IL400" s="336"/>
    </row>
    <row r="401" spans="244:246" ht="15.75" hidden="1" x14ac:dyDescent="0.2">
      <c r="IJ401" s="335"/>
      <c r="IK401" s="336"/>
      <c r="IL401" s="336"/>
    </row>
    <row r="402" spans="244:246" ht="15.75" hidden="1" x14ac:dyDescent="0.2">
      <c r="IJ402" s="335"/>
      <c r="IK402" s="336"/>
      <c r="IL402" s="336"/>
    </row>
    <row r="403" spans="244:246" ht="15.75" hidden="1" x14ac:dyDescent="0.2">
      <c r="IJ403" s="335"/>
      <c r="IK403" s="336"/>
      <c r="IL403" s="336"/>
    </row>
    <row r="404" spans="244:246" ht="15.75" hidden="1" x14ac:dyDescent="0.2">
      <c r="IJ404" s="335"/>
      <c r="IK404" s="336"/>
      <c r="IL404" s="336"/>
    </row>
    <row r="405" spans="244:246" ht="15.75" hidden="1" x14ac:dyDescent="0.2">
      <c r="IJ405" s="335"/>
      <c r="IK405" s="336"/>
      <c r="IL405" s="336"/>
    </row>
    <row r="406" spans="244:246" ht="15.75" hidden="1" x14ac:dyDescent="0.2">
      <c r="IJ406" s="335"/>
      <c r="IK406" s="336"/>
      <c r="IL406" s="336"/>
    </row>
    <row r="407" spans="244:246" ht="15.75" hidden="1" x14ac:dyDescent="0.2">
      <c r="IJ407" s="335"/>
      <c r="IK407" s="336"/>
      <c r="IL407" s="336"/>
    </row>
    <row r="408" spans="244:246" ht="15.75" hidden="1" x14ac:dyDescent="0.2">
      <c r="IJ408" s="335"/>
      <c r="IK408" s="336"/>
      <c r="IL408" s="336"/>
    </row>
    <row r="409" spans="244:246" ht="15.75" hidden="1" x14ac:dyDescent="0.2">
      <c r="IJ409" s="335"/>
      <c r="IK409" s="336"/>
      <c r="IL409" s="336"/>
    </row>
    <row r="410" spans="244:246" ht="15.75" hidden="1" x14ac:dyDescent="0.2">
      <c r="IJ410" s="335"/>
      <c r="IK410" s="336"/>
      <c r="IL410" s="336"/>
    </row>
    <row r="411" spans="244:246" ht="15.75" hidden="1" x14ac:dyDescent="0.2">
      <c r="IJ411" s="335"/>
      <c r="IK411" s="336"/>
      <c r="IL411" s="336"/>
    </row>
    <row r="412" spans="244:246" ht="15.75" hidden="1" x14ac:dyDescent="0.2">
      <c r="IJ412" s="335"/>
      <c r="IK412" s="336"/>
      <c r="IL412" s="336"/>
    </row>
    <row r="413" spans="244:246" ht="15.75" hidden="1" x14ac:dyDescent="0.2">
      <c r="IJ413" s="335"/>
      <c r="IK413" s="336"/>
      <c r="IL413" s="336"/>
    </row>
    <row r="414" spans="244:246" ht="15.75" hidden="1" x14ac:dyDescent="0.2">
      <c r="IJ414" s="335"/>
      <c r="IK414" s="336"/>
      <c r="IL414" s="336"/>
    </row>
    <row r="415" spans="244:246" ht="15.75" hidden="1" x14ac:dyDescent="0.2">
      <c r="IJ415" s="335"/>
      <c r="IK415" s="336"/>
      <c r="IL415" s="336"/>
    </row>
    <row r="416" spans="244:246" ht="15.75" hidden="1" x14ac:dyDescent="0.2">
      <c r="IJ416" s="335"/>
      <c r="IK416" s="336"/>
      <c r="IL416" s="336"/>
    </row>
    <row r="417" spans="244:246" ht="15.75" hidden="1" x14ac:dyDescent="0.2">
      <c r="IJ417" s="335"/>
      <c r="IK417" s="336"/>
      <c r="IL417" s="336"/>
    </row>
    <row r="418" spans="244:246" ht="15.75" hidden="1" x14ac:dyDescent="0.2">
      <c r="IJ418" s="335"/>
      <c r="IK418" s="336"/>
      <c r="IL418" s="336"/>
    </row>
    <row r="419" spans="244:246" ht="15.75" hidden="1" x14ac:dyDescent="0.2">
      <c r="IJ419" s="335"/>
      <c r="IK419" s="336"/>
      <c r="IL419" s="336"/>
    </row>
    <row r="420" spans="244:246" ht="15.75" hidden="1" x14ac:dyDescent="0.2">
      <c r="IJ420" s="335"/>
      <c r="IK420" s="336"/>
      <c r="IL420" s="336"/>
    </row>
    <row r="421" spans="244:246" ht="15.75" hidden="1" x14ac:dyDescent="0.2">
      <c r="IJ421" s="335"/>
      <c r="IK421" s="336"/>
      <c r="IL421" s="336"/>
    </row>
    <row r="422" spans="244:246" ht="15.75" hidden="1" x14ac:dyDescent="0.2">
      <c r="IJ422" s="335"/>
      <c r="IK422" s="336"/>
      <c r="IL422" s="336"/>
    </row>
    <row r="423" spans="244:246" ht="15.75" hidden="1" x14ac:dyDescent="0.2">
      <c r="IJ423" s="335"/>
      <c r="IK423" s="336"/>
      <c r="IL423" s="336"/>
    </row>
    <row r="424" spans="244:246" ht="15.75" hidden="1" x14ac:dyDescent="0.2">
      <c r="IJ424" s="335"/>
      <c r="IK424" s="336"/>
      <c r="IL424" s="336"/>
    </row>
    <row r="425" spans="244:246" ht="15.75" hidden="1" x14ac:dyDescent="0.2">
      <c r="IJ425" s="335"/>
      <c r="IK425" s="336"/>
      <c r="IL425" s="336"/>
    </row>
    <row r="426" spans="244:246" ht="15.75" hidden="1" x14ac:dyDescent="0.2">
      <c r="IJ426" s="335"/>
      <c r="IK426" s="336"/>
      <c r="IL426" s="336"/>
    </row>
    <row r="427" spans="244:246" ht="15.75" hidden="1" x14ac:dyDescent="0.2">
      <c r="IJ427" s="335"/>
      <c r="IK427" s="336"/>
      <c r="IL427" s="336"/>
    </row>
    <row r="428" spans="244:246" ht="15.75" hidden="1" x14ac:dyDescent="0.2">
      <c r="IJ428" s="335"/>
      <c r="IK428" s="336"/>
      <c r="IL428" s="336"/>
    </row>
    <row r="429" spans="244:246" ht="15.75" hidden="1" x14ac:dyDescent="0.2">
      <c r="IJ429" s="335"/>
      <c r="IK429" s="336"/>
      <c r="IL429" s="336"/>
    </row>
    <row r="430" spans="244:246" ht="15.75" hidden="1" x14ac:dyDescent="0.2">
      <c r="IJ430" s="335"/>
      <c r="IK430" s="336"/>
      <c r="IL430" s="336"/>
    </row>
    <row r="431" spans="244:246" ht="15.75" hidden="1" x14ac:dyDescent="0.2">
      <c r="IJ431" s="335"/>
      <c r="IK431" s="336"/>
      <c r="IL431" s="336"/>
    </row>
    <row r="432" spans="244:246" ht="15.75" hidden="1" x14ac:dyDescent="0.2">
      <c r="IJ432" s="335"/>
      <c r="IK432" s="336"/>
      <c r="IL432" s="336"/>
    </row>
    <row r="433" spans="244:246" ht="15.75" hidden="1" x14ac:dyDescent="0.2">
      <c r="IJ433" s="335"/>
      <c r="IK433" s="336"/>
      <c r="IL433" s="336"/>
    </row>
    <row r="434" spans="244:246" ht="15.75" hidden="1" x14ac:dyDescent="0.2">
      <c r="IJ434" s="335"/>
      <c r="IK434" s="336"/>
      <c r="IL434" s="336"/>
    </row>
    <row r="435" spans="244:246" ht="15.75" hidden="1" x14ac:dyDescent="0.2">
      <c r="IJ435" s="335"/>
      <c r="IK435" s="336"/>
      <c r="IL435" s="336"/>
    </row>
    <row r="436" spans="244:246" ht="15.75" hidden="1" x14ac:dyDescent="0.2">
      <c r="IJ436" s="335"/>
      <c r="IK436" s="336"/>
      <c r="IL436" s="336"/>
    </row>
    <row r="437" spans="244:246" ht="15.75" hidden="1" x14ac:dyDescent="0.2">
      <c r="IJ437" s="335"/>
      <c r="IK437" s="336"/>
      <c r="IL437" s="336"/>
    </row>
    <row r="438" spans="244:246" ht="15.75" hidden="1" x14ac:dyDescent="0.2">
      <c r="IJ438" s="335"/>
      <c r="IK438" s="336"/>
      <c r="IL438" s="336"/>
    </row>
    <row r="439" spans="244:246" ht="15.75" hidden="1" x14ac:dyDescent="0.2">
      <c r="IJ439" s="335"/>
      <c r="IK439" s="336"/>
      <c r="IL439" s="336"/>
    </row>
    <row r="440" spans="244:246" ht="15.75" hidden="1" x14ac:dyDescent="0.2">
      <c r="IJ440" s="335"/>
      <c r="IK440" s="336"/>
      <c r="IL440" s="336"/>
    </row>
    <row r="441" spans="244:246" ht="15.75" hidden="1" x14ac:dyDescent="0.2">
      <c r="IJ441" s="335"/>
      <c r="IK441" s="336"/>
      <c r="IL441" s="336"/>
    </row>
    <row r="442" spans="244:246" ht="15.75" hidden="1" x14ac:dyDescent="0.2">
      <c r="IJ442" s="335"/>
      <c r="IK442" s="336"/>
      <c r="IL442" s="336"/>
    </row>
    <row r="443" spans="244:246" ht="15.75" hidden="1" x14ac:dyDescent="0.2">
      <c r="IJ443" s="335"/>
      <c r="IK443" s="336"/>
      <c r="IL443" s="336"/>
    </row>
    <row r="444" spans="244:246" ht="15.75" hidden="1" x14ac:dyDescent="0.2">
      <c r="IJ444" s="335"/>
      <c r="IK444" s="336"/>
      <c r="IL444" s="336"/>
    </row>
    <row r="445" spans="244:246" ht="15.75" hidden="1" x14ac:dyDescent="0.2">
      <c r="IJ445" s="335"/>
      <c r="IK445" s="336"/>
      <c r="IL445" s="336"/>
    </row>
    <row r="446" spans="244:246" ht="15.75" hidden="1" x14ac:dyDescent="0.2">
      <c r="IJ446" s="335"/>
      <c r="IK446" s="336"/>
      <c r="IL446" s="336"/>
    </row>
    <row r="447" spans="244:246" ht="15.75" hidden="1" x14ac:dyDescent="0.2">
      <c r="IJ447" s="335"/>
      <c r="IK447" s="336"/>
      <c r="IL447" s="336"/>
    </row>
    <row r="448" spans="244:246" ht="15.75" hidden="1" x14ac:dyDescent="0.2">
      <c r="IJ448" s="335"/>
      <c r="IK448" s="336"/>
      <c r="IL448" s="336"/>
    </row>
    <row r="449" spans="244:246" ht="15.75" hidden="1" x14ac:dyDescent="0.2">
      <c r="IJ449" s="335"/>
      <c r="IK449" s="336"/>
      <c r="IL449" s="336"/>
    </row>
    <row r="450" spans="244:246" ht="15.75" hidden="1" x14ac:dyDescent="0.2">
      <c r="IJ450" s="335"/>
      <c r="IK450" s="336"/>
      <c r="IL450" s="336"/>
    </row>
    <row r="451" spans="244:246" ht="15.75" hidden="1" x14ac:dyDescent="0.2">
      <c r="IJ451" s="335"/>
      <c r="IK451" s="336"/>
      <c r="IL451" s="336"/>
    </row>
    <row r="452" spans="244:246" ht="15.75" hidden="1" x14ac:dyDescent="0.2">
      <c r="IJ452" s="335"/>
      <c r="IK452" s="336"/>
      <c r="IL452" s="336"/>
    </row>
    <row r="453" spans="244:246" ht="15.75" hidden="1" x14ac:dyDescent="0.2">
      <c r="IJ453" s="335"/>
      <c r="IK453" s="336"/>
      <c r="IL453" s="336"/>
    </row>
    <row r="454" spans="244:246" ht="15.75" hidden="1" x14ac:dyDescent="0.2">
      <c r="IJ454" s="335"/>
      <c r="IK454" s="336"/>
      <c r="IL454" s="336"/>
    </row>
    <row r="455" spans="244:246" ht="15.75" hidden="1" x14ac:dyDescent="0.2">
      <c r="IJ455" s="335"/>
      <c r="IK455" s="336"/>
      <c r="IL455" s="336"/>
    </row>
    <row r="456" spans="244:246" ht="15.75" hidden="1" x14ac:dyDescent="0.2">
      <c r="IJ456" s="335"/>
      <c r="IK456" s="336"/>
      <c r="IL456" s="336"/>
    </row>
    <row r="457" spans="244:246" ht="15.75" hidden="1" x14ac:dyDescent="0.2">
      <c r="IJ457" s="335"/>
      <c r="IK457" s="336"/>
      <c r="IL457" s="336"/>
    </row>
    <row r="458" spans="244:246" ht="15.75" hidden="1" x14ac:dyDescent="0.2">
      <c r="IJ458" s="335"/>
      <c r="IK458" s="336"/>
      <c r="IL458" s="336"/>
    </row>
    <row r="459" spans="244:246" ht="15.75" hidden="1" x14ac:dyDescent="0.2">
      <c r="IJ459" s="335"/>
      <c r="IK459" s="336"/>
      <c r="IL459" s="336"/>
    </row>
    <row r="460" spans="244:246" ht="15.75" hidden="1" x14ac:dyDescent="0.2">
      <c r="IJ460" s="335"/>
      <c r="IK460" s="336"/>
      <c r="IL460" s="336"/>
    </row>
    <row r="461" spans="244:246" ht="15.75" hidden="1" x14ac:dyDescent="0.2">
      <c r="IJ461" s="335"/>
      <c r="IK461" s="336"/>
      <c r="IL461" s="336"/>
    </row>
    <row r="462" spans="244:246" ht="15.75" hidden="1" x14ac:dyDescent="0.2">
      <c r="IJ462" s="335"/>
      <c r="IK462" s="336"/>
      <c r="IL462" s="336"/>
    </row>
    <row r="463" spans="244:246" ht="15.75" hidden="1" x14ac:dyDescent="0.2">
      <c r="IJ463" s="335"/>
      <c r="IK463" s="336"/>
      <c r="IL463" s="336"/>
    </row>
    <row r="464" spans="244:246" ht="15.75" hidden="1" x14ac:dyDescent="0.2">
      <c r="IJ464" s="335"/>
      <c r="IK464" s="336"/>
      <c r="IL464" s="336"/>
    </row>
    <row r="465" spans="244:246" ht="15.75" hidden="1" x14ac:dyDescent="0.2">
      <c r="IJ465" s="335"/>
      <c r="IK465" s="336"/>
      <c r="IL465" s="336"/>
    </row>
    <row r="466" spans="244:246" ht="15.75" hidden="1" x14ac:dyDescent="0.2">
      <c r="IJ466" s="335"/>
      <c r="IK466" s="336"/>
      <c r="IL466" s="336"/>
    </row>
    <row r="467" spans="244:246" ht="15.75" hidden="1" x14ac:dyDescent="0.2">
      <c r="IJ467" s="335"/>
      <c r="IK467" s="336"/>
      <c r="IL467" s="336"/>
    </row>
    <row r="468" spans="244:246" ht="15.75" hidden="1" x14ac:dyDescent="0.2">
      <c r="IJ468" s="335"/>
      <c r="IK468" s="336"/>
      <c r="IL468" s="336"/>
    </row>
    <row r="469" spans="244:246" ht="15.75" hidden="1" x14ac:dyDescent="0.2">
      <c r="IJ469" s="335"/>
      <c r="IK469" s="336"/>
      <c r="IL469" s="336"/>
    </row>
    <row r="470" spans="244:246" ht="15.75" hidden="1" x14ac:dyDescent="0.2">
      <c r="IJ470" s="335"/>
      <c r="IK470" s="336"/>
      <c r="IL470" s="336"/>
    </row>
    <row r="471" spans="244:246" ht="15.75" hidden="1" x14ac:dyDescent="0.2">
      <c r="IJ471" s="335"/>
      <c r="IK471" s="336"/>
      <c r="IL471" s="336"/>
    </row>
    <row r="472" spans="244:246" ht="15.75" hidden="1" x14ac:dyDescent="0.2">
      <c r="IJ472" s="335"/>
      <c r="IK472" s="336"/>
      <c r="IL472" s="336"/>
    </row>
    <row r="473" spans="244:246" ht="15.75" hidden="1" x14ac:dyDescent="0.2">
      <c r="IJ473" s="335"/>
      <c r="IK473" s="336"/>
      <c r="IL473" s="336"/>
    </row>
    <row r="474" spans="244:246" ht="15.75" hidden="1" x14ac:dyDescent="0.2">
      <c r="IJ474" s="335"/>
      <c r="IK474" s="336"/>
      <c r="IL474" s="336"/>
    </row>
    <row r="475" spans="244:246" ht="15.75" hidden="1" x14ac:dyDescent="0.2">
      <c r="IJ475" s="335"/>
      <c r="IK475" s="336"/>
      <c r="IL475" s="336"/>
    </row>
    <row r="476" spans="244:246" ht="15.75" hidden="1" x14ac:dyDescent="0.2">
      <c r="IJ476" s="335"/>
      <c r="IK476" s="336"/>
      <c r="IL476" s="336"/>
    </row>
    <row r="477" spans="244:246" ht="15.75" hidden="1" x14ac:dyDescent="0.2">
      <c r="IJ477" s="335"/>
      <c r="IK477" s="336"/>
      <c r="IL477" s="336"/>
    </row>
    <row r="478" spans="244:246" ht="15.75" hidden="1" x14ac:dyDescent="0.2">
      <c r="IJ478" s="335"/>
      <c r="IK478" s="336"/>
      <c r="IL478" s="336"/>
    </row>
    <row r="479" spans="244:246" ht="15.75" hidden="1" x14ac:dyDescent="0.2">
      <c r="IJ479" s="335"/>
      <c r="IK479" s="336"/>
      <c r="IL479" s="336"/>
    </row>
    <row r="480" spans="244:246" ht="15.75" hidden="1" x14ac:dyDescent="0.2">
      <c r="IJ480" s="335"/>
      <c r="IK480" s="336"/>
      <c r="IL480" s="336"/>
    </row>
    <row r="481" spans="244:246" ht="15.75" hidden="1" x14ac:dyDescent="0.2">
      <c r="IJ481" s="335"/>
      <c r="IK481" s="336"/>
      <c r="IL481" s="336"/>
    </row>
    <row r="482" spans="244:246" ht="15.75" hidden="1" x14ac:dyDescent="0.2">
      <c r="IJ482" s="335"/>
      <c r="IK482" s="336"/>
      <c r="IL482" s="336"/>
    </row>
    <row r="483" spans="244:246" ht="15.75" hidden="1" x14ac:dyDescent="0.2">
      <c r="IJ483" s="335"/>
      <c r="IK483" s="336"/>
      <c r="IL483" s="336"/>
    </row>
    <row r="484" spans="244:246" ht="15.75" hidden="1" x14ac:dyDescent="0.2">
      <c r="IJ484" s="335"/>
      <c r="IK484" s="336"/>
      <c r="IL484" s="336"/>
    </row>
    <row r="485" spans="244:246" ht="15.75" hidden="1" x14ac:dyDescent="0.2">
      <c r="IJ485" s="335"/>
      <c r="IK485" s="336"/>
      <c r="IL485" s="336"/>
    </row>
    <row r="486" spans="244:246" ht="15.75" hidden="1" x14ac:dyDescent="0.2">
      <c r="IJ486" s="335"/>
      <c r="IK486" s="336"/>
      <c r="IL486" s="336"/>
    </row>
    <row r="487" spans="244:246" ht="15.75" hidden="1" x14ac:dyDescent="0.2">
      <c r="IJ487" s="335"/>
      <c r="IK487" s="336"/>
      <c r="IL487" s="336"/>
    </row>
    <row r="488" spans="244:246" ht="15.75" hidden="1" x14ac:dyDescent="0.2">
      <c r="IJ488" s="335"/>
      <c r="IK488" s="336"/>
      <c r="IL488" s="336"/>
    </row>
    <row r="489" spans="244:246" ht="15.75" hidden="1" x14ac:dyDescent="0.2">
      <c r="IJ489" s="335"/>
      <c r="IK489" s="336"/>
      <c r="IL489" s="336"/>
    </row>
    <row r="490" spans="244:246" ht="15.75" hidden="1" x14ac:dyDescent="0.2">
      <c r="IJ490" s="335"/>
      <c r="IK490" s="336"/>
      <c r="IL490" s="336"/>
    </row>
    <row r="491" spans="244:246" ht="15.75" hidden="1" x14ac:dyDescent="0.2">
      <c r="IJ491" s="335"/>
      <c r="IK491" s="336"/>
      <c r="IL491" s="336"/>
    </row>
    <row r="492" spans="244:246" ht="15.75" hidden="1" x14ac:dyDescent="0.2">
      <c r="IJ492" s="335"/>
      <c r="IK492" s="336"/>
      <c r="IL492" s="336"/>
    </row>
    <row r="493" spans="244:246" ht="15.75" hidden="1" x14ac:dyDescent="0.2">
      <c r="IJ493" s="335"/>
      <c r="IK493" s="336"/>
      <c r="IL493" s="336"/>
    </row>
    <row r="494" spans="244:246" ht="15.75" hidden="1" x14ac:dyDescent="0.2">
      <c r="IJ494" s="335"/>
      <c r="IK494" s="336"/>
      <c r="IL494" s="336"/>
    </row>
    <row r="495" spans="244:246" ht="15.75" hidden="1" x14ac:dyDescent="0.2">
      <c r="IJ495" s="335"/>
      <c r="IK495" s="336"/>
      <c r="IL495" s="336"/>
    </row>
    <row r="496" spans="244:246" ht="15.75" hidden="1" x14ac:dyDescent="0.2">
      <c r="IJ496" s="335"/>
      <c r="IK496" s="336"/>
      <c r="IL496" s="336"/>
    </row>
    <row r="497" spans="244:246" ht="15.75" hidden="1" x14ac:dyDescent="0.2">
      <c r="IJ497" s="335"/>
      <c r="IK497" s="336"/>
      <c r="IL497" s="336"/>
    </row>
    <row r="498" spans="244:246" ht="15.75" hidden="1" x14ac:dyDescent="0.2">
      <c r="IJ498" s="335"/>
      <c r="IK498" s="336"/>
      <c r="IL498" s="336"/>
    </row>
    <row r="499" spans="244:246" ht="15.75" hidden="1" x14ac:dyDescent="0.2">
      <c r="IJ499" s="335"/>
      <c r="IK499" s="336"/>
      <c r="IL499" s="336"/>
    </row>
    <row r="500" spans="244:246" ht="15.75" hidden="1" x14ac:dyDescent="0.2">
      <c r="IJ500" s="335"/>
      <c r="IK500" s="336"/>
      <c r="IL500" s="336"/>
    </row>
    <row r="501" spans="244:246" ht="15.75" hidden="1" x14ac:dyDescent="0.2">
      <c r="IJ501" s="335"/>
      <c r="IK501" s="336"/>
      <c r="IL501" s="336"/>
    </row>
    <row r="502" spans="244:246" ht="15.75" hidden="1" x14ac:dyDescent="0.2">
      <c r="IJ502" s="335"/>
      <c r="IK502" s="336"/>
      <c r="IL502" s="336"/>
    </row>
    <row r="503" spans="244:246" ht="15.75" hidden="1" x14ac:dyDescent="0.2">
      <c r="IJ503" s="335"/>
      <c r="IK503" s="336"/>
      <c r="IL503" s="336"/>
    </row>
    <row r="504" spans="244:246" ht="15.75" hidden="1" x14ac:dyDescent="0.2">
      <c r="IJ504" s="335"/>
      <c r="IK504" s="336"/>
      <c r="IL504" s="336"/>
    </row>
    <row r="505" spans="244:246" ht="15.75" hidden="1" x14ac:dyDescent="0.2">
      <c r="IJ505" s="335"/>
      <c r="IK505" s="336"/>
      <c r="IL505" s="336"/>
    </row>
    <row r="506" spans="244:246" ht="15.75" hidden="1" x14ac:dyDescent="0.2">
      <c r="IJ506" s="335"/>
      <c r="IK506" s="336"/>
      <c r="IL506" s="336"/>
    </row>
    <row r="507" spans="244:246" ht="15.75" hidden="1" x14ac:dyDescent="0.2">
      <c r="IJ507" s="335"/>
      <c r="IK507" s="336"/>
      <c r="IL507" s="336"/>
    </row>
    <row r="508" spans="244:246" ht="15.75" hidden="1" x14ac:dyDescent="0.2">
      <c r="IJ508" s="335"/>
      <c r="IK508" s="336"/>
      <c r="IL508" s="336"/>
    </row>
    <row r="509" spans="244:246" ht="15.75" hidden="1" x14ac:dyDescent="0.2">
      <c r="IJ509" s="335"/>
      <c r="IK509" s="336"/>
      <c r="IL509" s="336"/>
    </row>
    <row r="510" spans="244:246" ht="15.75" hidden="1" x14ac:dyDescent="0.2">
      <c r="IJ510" s="335"/>
      <c r="IK510" s="336"/>
      <c r="IL510" s="336"/>
    </row>
    <row r="511" spans="244:246" ht="15.75" hidden="1" x14ac:dyDescent="0.2">
      <c r="IJ511" s="335"/>
      <c r="IK511" s="336"/>
      <c r="IL511" s="336"/>
    </row>
    <row r="512" spans="244:246" ht="15.75" hidden="1" x14ac:dyDescent="0.2">
      <c r="IJ512" s="335"/>
      <c r="IK512" s="336"/>
      <c r="IL512" s="336"/>
    </row>
    <row r="513" spans="244:246" ht="15.75" hidden="1" x14ac:dyDescent="0.2">
      <c r="IJ513" s="335"/>
      <c r="IK513" s="336"/>
      <c r="IL513" s="336"/>
    </row>
    <row r="514" spans="244:246" ht="15.75" hidden="1" x14ac:dyDescent="0.2">
      <c r="IJ514" s="335"/>
      <c r="IK514" s="336"/>
      <c r="IL514" s="336"/>
    </row>
    <row r="515" spans="244:246" ht="15.75" hidden="1" x14ac:dyDescent="0.2">
      <c r="IJ515" s="335"/>
      <c r="IK515" s="336"/>
      <c r="IL515" s="336"/>
    </row>
    <row r="516" spans="244:246" ht="15.75" hidden="1" x14ac:dyDescent="0.2">
      <c r="IJ516" s="335"/>
      <c r="IK516" s="336"/>
      <c r="IL516" s="336"/>
    </row>
    <row r="517" spans="244:246" ht="15.75" hidden="1" x14ac:dyDescent="0.2">
      <c r="IJ517" s="335"/>
      <c r="IK517" s="336"/>
      <c r="IL517" s="336"/>
    </row>
    <row r="518" spans="244:246" ht="15.75" hidden="1" x14ac:dyDescent="0.2">
      <c r="IJ518" s="335"/>
      <c r="IK518" s="336"/>
      <c r="IL518" s="336"/>
    </row>
    <row r="519" spans="244:246" ht="15.75" hidden="1" x14ac:dyDescent="0.2">
      <c r="IJ519" s="335"/>
      <c r="IK519" s="336"/>
      <c r="IL519" s="336"/>
    </row>
    <row r="520" spans="244:246" ht="15.75" hidden="1" x14ac:dyDescent="0.2">
      <c r="IJ520" s="335"/>
      <c r="IK520" s="336"/>
      <c r="IL520" s="336"/>
    </row>
    <row r="521" spans="244:246" ht="15.75" hidden="1" x14ac:dyDescent="0.2">
      <c r="IJ521" s="335"/>
      <c r="IK521" s="336"/>
      <c r="IL521" s="336"/>
    </row>
    <row r="522" spans="244:246" ht="15.75" hidden="1" x14ac:dyDescent="0.2">
      <c r="IJ522" s="335"/>
      <c r="IK522" s="336"/>
      <c r="IL522" s="336"/>
    </row>
    <row r="523" spans="244:246" ht="15.75" hidden="1" x14ac:dyDescent="0.2">
      <c r="IJ523" s="335"/>
      <c r="IK523" s="336"/>
      <c r="IL523" s="336"/>
    </row>
    <row r="524" spans="244:246" ht="15.75" hidden="1" x14ac:dyDescent="0.2">
      <c r="IJ524" s="335"/>
      <c r="IK524" s="336"/>
      <c r="IL524" s="336"/>
    </row>
    <row r="525" spans="244:246" ht="15.75" hidden="1" x14ac:dyDescent="0.2">
      <c r="IJ525" s="335"/>
      <c r="IK525" s="336"/>
      <c r="IL525" s="336"/>
    </row>
    <row r="526" spans="244:246" ht="15.75" hidden="1" x14ac:dyDescent="0.2">
      <c r="IJ526" s="335"/>
      <c r="IK526" s="336"/>
      <c r="IL526" s="336"/>
    </row>
    <row r="527" spans="244:246" ht="15.75" hidden="1" x14ac:dyDescent="0.2">
      <c r="IJ527" s="335"/>
      <c r="IK527" s="336"/>
      <c r="IL527" s="336"/>
    </row>
    <row r="528" spans="244:246" ht="15.75" hidden="1" x14ac:dyDescent="0.2">
      <c r="IJ528" s="335"/>
      <c r="IK528" s="336"/>
      <c r="IL528" s="336"/>
    </row>
    <row r="529" spans="244:246" ht="15.75" hidden="1" x14ac:dyDescent="0.2">
      <c r="IJ529" s="335"/>
      <c r="IK529" s="336"/>
      <c r="IL529" s="336"/>
    </row>
    <row r="530" spans="244:246" ht="15.75" hidden="1" x14ac:dyDescent="0.2">
      <c r="IJ530" s="335"/>
      <c r="IK530" s="336"/>
      <c r="IL530" s="336"/>
    </row>
    <row r="531" spans="244:246" ht="15.75" hidden="1" x14ac:dyDescent="0.2">
      <c r="IJ531" s="335"/>
      <c r="IK531" s="336"/>
      <c r="IL531" s="336"/>
    </row>
    <row r="532" spans="244:246" ht="15.75" hidden="1" x14ac:dyDescent="0.2">
      <c r="IJ532" s="335"/>
      <c r="IK532" s="336"/>
      <c r="IL532" s="336"/>
    </row>
    <row r="533" spans="244:246" ht="15.75" hidden="1" x14ac:dyDescent="0.2">
      <c r="IJ533" s="335"/>
      <c r="IK533" s="336"/>
      <c r="IL533" s="336"/>
    </row>
    <row r="534" spans="244:246" ht="15.75" hidden="1" x14ac:dyDescent="0.2">
      <c r="IJ534" s="335"/>
      <c r="IK534" s="336"/>
      <c r="IL534" s="336"/>
    </row>
    <row r="535" spans="244:246" ht="15.75" hidden="1" x14ac:dyDescent="0.2">
      <c r="IJ535" s="335"/>
      <c r="IK535" s="336"/>
      <c r="IL535" s="336"/>
    </row>
    <row r="536" spans="244:246" ht="15.75" hidden="1" x14ac:dyDescent="0.2">
      <c r="IJ536" s="335"/>
      <c r="IK536" s="336"/>
      <c r="IL536" s="336"/>
    </row>
    <row r="537" spans="244:246" ht="15.75" hidden="1" x14ac:dyDescent="0.2">
      <c r="IJ537" s="335"/>
      <c r="IK537" s="336"/>
      <c r="IL537" s="336"/>
    </row>
    <row r="538" spans="244:246" ht="15.75" hidden="1" x14ac:dyDescent="0.2">
      <c r="IJ538" s="335"/>
      <c r="IK538" s="336"/>
      <c r="IL538" s="336"/>
    </row>
    <row r="539" spans="244:246" ht="15.75" hidden="1" x14ac:dyDescent="0.2">
      <c r="IJ539" s="335"/>
      <c r="IK539" s="336"/>
      <c r="IL539" s="336"/>
    </row>
    <row r="540" spans="244:246" ht="15.75" hidden="1" x14ac:dyDescent="0.2">
      <c r="IJ540" s="335"/>
      <c r="IK540" s="336"/>
      <c r="IL540" s="336"/>
    </row>
    <row r="541" spans="244:246" ht="15.75" hidden="1" x14ac:dyDescent="0.2">
      <c r="IJ541" s="335"/>
      <c r="IK541" s="336"/>
      <c r="IL541" s="336"/>
    </row>
    <row r="542" spans="244:246" ht="15.75" hidden="1" x14ac:dyDescent="0.2">
      <c r="IJ542" s="335"/>
      <c r="IK542" s="336"/>
      <c r="IL542" s="336"/>
    </row>
    <row r="543" spans="244:246" ht="15.75" hidden="1" x14ac:dyDescent="0.2">
      <c r="IJ543" s="335"/>
      <c r="IK543" s="336"/>
      <c r="IL543" s="336"/>
    </row>
    <row r="544" spans="244:246" ht="15.75" hidden="1" x14ac:dyDescent="0.2">
      <c r="IJ544" s="335"/>
      <c r="IK544" s="336"/>
      <c r="IL544" s="336"/>
    </row>
    <row r="545" spans="244:246" ht="15.75" hidden="1" x14ac:dyDescent="0.2">
      <c r="IJ545" s="335"/>
      <c r="IK545" s="336"/>
      <c r="IL545" s="336"/>
    </row>
    <row r="546" spans="244:246" ht="15.75" hidden="1" x14ac:dyDescent="0.2">
      <c r="IJ546" s="335"/>
      <c r="IK546" s="336"/>
      <c r="IL546" s="336"/>
    </row>
    <row r="547" spans="244:246" ht="15.75" hidden="1" x14ac:dyDescent="0.2">
      <c r="IJ547" s="335"/>
      <c r="IK547" s="336"/>
      <c r="IL547" s="336"/>
    </row>
    <row r="548" spans="244:246" ht="15.75" hidden="1" x14ac:dyDescent="0.2">
      <c r="IJ548" s="335"/>
      <c r="IK548" s="336"/>
      <c r="IL548" s="336"/>
    </row>
    <row r="549" spans="244:246" ht="15.75" hidden="1" x14ac:dyDescent="0.2">
      <c r="IJ549" s="335"/>
      <c r="IK549" s="336"/>
      <c r="IL549" s="336"/>
    </row>
    <row r="550" spans="244:246" ht="15.75" hidden="1" x14ac:dyDescent="0.2">
      <c r="IJ550" s="335"/>
      <c r="IK550" s="336"/>
      <c r="IL550" s="336"/>
    </row>
    <row r="551" spans="244:246" ht="15.75" hidden="1" x14ac:dyDescent="0.2">
      <c r="IJ551" s="335"/>
      <c r="IK551" s="336"/>
      <c r="IL551" s="336"/>
    </row>
    <row r="552" spans="244:246" ht="15.75" hidden="1" x14ac:dyDescent="0.2">
      <c r="IJ552" s="335"/>
      <c r="IK552" s="336"/>
      <c r="IL552" s="336"/>
    </row>
    <row r="553" spans="244:246" ht="15.75" hidden="1" x14ac:dyDescent="0.2">
      <c r="IJ553" s="335"/>
      <c r="IK553" s="336"/>
      <c r="IL553" s="336"/>
    </row>
    <row r="554" spans="244:246" ht="15.75" hidden="1" x14ac:dyDescent="0.2">
      <c r="IJ554" s="335"/>
      <c r="IK554" s="336"/>
      <c r="IL554" s="336"/>
    </row>
    <row r="555" spans="244:246" ht="15.75" hidden="1" x14ac:dyDescent="0.2">
      <c r="IJ555" s="335"/>
      <c r="IK555" s="336"/>
      <c r="IL555" s="336"/>
    </row>
    <row r="556" spans="244:246" ht="15.75" hidden="1" x14ac:dyDescent="0.2">
      <c r="IJ556" s="335"/>
      <c r="IK556" s="336"/>
      <c r="IL556" s="336"/>
    </row>
    <row r="557" spans="244:246" ht="15.75" hidden="1" x14ac:dyDescent="0.2">
      <c r="IJ557" s="335"/>
      <c r="IK557" s="336"/>
      <c r="IL557" s="336"/>
    </row>
    <row r="558" spans="244:246" ht="15.75" hidden="1" x14ac:dyDescent="0.2">
      <c r="IJ558" s="335"/>
      <c r="IK558" s="336"/>
      <c r="IL558" s="336"/>
    </row>
    <row r="559" spans="244:246" ht="15.75" hidden="1" x14ac:dyDescent="0.2">
      <c r="IJ559" s="335"/>
      <c r="IK559" s="336"/>
      <c r="IL559" s="336"/>
    </row>
    <row r="560" spans="244:246" ht="15.75" hidden="1" x14ac:dyDescent="0.2">
      <c r="IJ560" s="335"/>
      <c r="IK560" s="336"/>
      <c r="IL560" s="336"/>
    </row>
    <row r="561" spans="244:246" ht="15.75" hidden="1" x14ac:dyDescent="0.2">
      <c r="IJ561" s="335"/>
      <c r="IK561" s="336"/>
      <c r="IL561" s="336"/>
    </row>
    <row r="562" spans="244:246" ht="15.75" hidden="1" x14ac:dyDescent="0.2">
      <c r="IJ562" s="335"/>
      <c r="IK562" s="336"/>
      <c r="IL562" s="336"/>
    </row>
    <row r="563" spans="244:246" ht="15.75" hidden="1" x14ac:dyDescent="0.2">
      <c r="IJ563" s="335"/>
      <c r="IK563" s="336"/>
      <c r="IL563" s="336"/>
    </row>
    <row r="564" spans="244:246" ht="15.75" hidden="1" x14ac:dyDescent="0.2">
      <c r="IJ564" s="335"/>
      <c r="IK564" s="336"/>
      <c r="IL564" s="336"/>
    </row>
    <row r="565" spans="244:246" ht="15.75" hidden="1" x14ac:dyDescent="0.2">
      <c r="IJ565" s="335"/>
      <c r="IK565" s="336"/>
      <c r="IL565" s="336"/>
    </row>
    <row r="566" spans="244:246" ht="15.75" hidden="1" x14ac:dyDescent="0.2">
      <c r="IJ566" s="335"/>
      <c r="IK566" s="336"/>
      <c r="IL566" s="336"/>
    </row>
    <row r="567" spans="244:246" ht="15.75" hidden="1" x14ac:dyDescent="0.2">
      <c r="IJ567" s="335"/>
      <c r="IK567" s="336"/>
      <c r="IL567" s="336"/>
    </row>
    <row r="568" spans="244:246" ht="15.75" hidden="1" x14ac:dyDescent="0.2">
      <c r="IJ568" s="335"/>
      <c r="IK568" s="336"/>
      <c r="IL568" s="336"/>
    </row>
    <row r="569" spans="244:246" ht="15.75" hidden="1" x14ac:dyDescent="0.2">
      <c r="IJ569" s="335"/>
      <c r="IK569" s="336"/>
      <c r="IL569" s="336"/>
    </row>
    <row r="570" spans="244:246" ht="15.75" hidden="1" x14ac:dyDescent="0.2">
      <c r="IJ570" s="335"/>
      <c r="IK570" s="336"/>
      <c r="IL570" s="336"/>
    </row>
    <row r="571" spans="244:246" ht="15.75" hidden="1" x14ac:dyDescent="0.2">
      <c r="IJ571" s="335"/>
      <c r="IK571" s="336"/>
      <c r="IL571" s="336"/>
    </row>
    <row r="572" spans="244:246" ht="15.75" hidden="1" x14ac:dyDescent="0.2">
      <c r="IJ572" s="335"/>
      <c r="IK572" s="336"/>
      <c r="IL572" s="336"/>
    </row>
    <row r="573" spans="244:246" ht="15.75" hidden="1" x14ac:dyDescent="0.2">
      <c r="IJ573" s="335"/>
      <c r="IK573" s="336"/>
      <c r="IL573" s="336"/>
    </row>
    <row r="574" spans="244:246" ht="15.75" hidden="1" x14ac:dyDescent="0.2">
      <c r="IJ574" s="335"/>
      <c r="IK574" s="336"/>
      <c r="IL574" s="336"/>
    </row>
    <row r="575" spans="244:246" ht="15.75" hidden="1" x14ac:dyDescent="0.2">
      <c r="IJ575" s="335"/>
      <c r="IK575" s="336"/>
      <c r="IL575" s="336"/>
    </row>
    <row r="576" spans="244:246" ht="15.75" hidden="1" x14ac:dyDescent="0.2">
      <c r="IJ576" s="335"/>
      <c r="IK576" s="336"/>
      <c r="IL576" s="336"/>
    </row>
    <row r="577" spans="244:246" ht="15.75" hidden="1" x14ac:dyDescent="0.2">
      <c r="IJ577" s="335"/>
      <c r="IK577" s="336"/>
      <c r="IL577" s="336"/>
    </row>
    <row r="578" spans="244:246" ht="15.75" hidden="1" x14ac:dyDescent="0.2">
      <c r="IJ578" s="335"/>
      <c r="IK578" s="336"/>
      <c r="IL578" s="336"/>
    </row>
    <row r="579" spans="244:246" ht="15.75" hidden="1" x14ac:dyDescent="0.2">
      <c r="IJ579" s="335"/>
      <c r="IK579" s="336"/>
      <c r="IL579" s="336"/>
    </row>
    <row r="580" spans="244:246" ht="15.75" hidden="1" x14ac:dyDescent="0.2">
      <c r="IJ580" s="335"/>
      <c r="IK580" s="336"/>
      <c r="IL580" s="336"/>
    </row>
    <row r="581" spans="244:246" ht="15.75" hidden="1" x14ac:dyDescent="0.2">
      <c r="IJ581" s="335"/>
      <c r="IK581" s="336"/>
      <c r="IL581" s="336"/>
    </row>
    <row r="582" spans="244:246" ht="15.75" hidden="1" x14ac:dyDescent="0.2">
      <c r="IJ582" s="335"/>
      <c r="IK582" s="336"/>
      <c r="IL582" s="336"/>
    </row>
    <row r="583" spans="244:246" ht="15.75" hidden="1" x14ac:dyDescent="0.2">
      <c r="IJ583" s="335"/>
      <c r="IK583" s="336"/>
      <c r="IL583" s="336"/>
    </row>
    <row r="584" spans="244:246" ht="15.75" hidden="1" x14ac:dyDescent="0.2">
      <c r="IJ584" s="335"/>
      <c r="IK584" s="336"/>
      <c r="IL584" s="336"/>
    </row>
    <row r="585" spans="244:246" ht="15.75" hidden="1" x14ac:dyDescent="0.2">
      <c r="IJ585" s="335"/>
      <c r="IK585" s="336"/>
      <c r="IL585" s="336"/>
    </row>
    <row r="586" spans="244:246" ht="15.75" hidden="1" x14ac:dyDescent="0.2">
      <c r="IJ586" s="335"/>
      <c r="IK586" s="336"/>
      <c r="IL586" s="336"/>
    </row>
    <row r="587" spans="244:246" ht="15.75" hidden="1" x14ac:dyDescent="0.2">
      <c r="IJ587" s="335"/>
      <c r="IK587" s="336"/>
      <c r="IL587" s="336"/>
    </row>
    <row r="588" spans="244:246" ht="15.75" hidden="1" x14ac:dyDescent="0.2">
      <c r="IJ588" s="335"/>
      <c r="IK588" s="336"/>
      <c r="IL588" s="336"/>
    </row>
    <row r="589" spans="244:246" ht="15.75" hidden="1" x14ac:dyDescent="0.2">
      <c r="IJ589" s="335"/>
      <c r="IK589" s="336"/>
      <c r="IL589" s="336"/>
    </row>
    <row r="590" spans="244:246" ht="15.75" hidden="1" x14ac:dyDescent="0.2">
      <c r="IJ590" s="335"/>
      <c r="IK590" s="336"/>
      <c r="IL590" s="336"/>
    </row>
    <row r="591" spans="244:246" ht="15.75" hidden="1" x14ac:dyDescent="0.2">
      <c r="IJ591" s="335"/>
      <c r="IK591" s="336"/>
      <c r="IL591" s="336"/>
    </row>
    <row r="592" spans="244:246" ht="15.75" hidden="1" x14ac:dyDescent="0.2">
      <c r="IJ592" s="335"/>
      <c r="IK592" s="336"/>
      <c r="IL592" s="336"/>
    </row>
    <row r="593" spans="244:246" ht="15.75" hidden="1" x14ac:dyDescent="0.2">
      <c r="IJ593" s="335"/>
      <c r="IK593" s="336"/>
      <c r="IL593" s="336"/>
    </row>
    <row r="594" spans="244:246" ht="15.75" hidden="1" x14ac:dyDescent="0.2">
      <c r="IJ594" s="335"/>
      <c r="IK594" s="336"/>
      <c r="IL594" s="336"/>
    </row>
    <row r="595" spans="244:246" ht="15.75" hidden="1" x14ac:dyDescent="0.2">
      <c r="IJ595" s="335"/>
      <c r="IK595" s="336"/>
      <c r="IL595" s="336"/>
    </row>
    <row r="596" spans="244:246" ht="15.75" hidden="1" x14ac:dyDescent="0.2">
      <c r="IJ596" s="335"/>
      <c r="IK596" s="336"/>
      <c r="IL596" s="336"/>
    </row>
    <row r="597" spans="244:246" ht="15.75" hidden="1" x14ac:dyDescent="0.2">
      <c r="IJ597" s="335"/>
      <c r="IK597" s="336"/>
      <c r="IL597" s="336"/>
    </row>
    <row r="598" spans="244:246" ht="15.75" hidden="1" x14ac:dyDescent="0.2">
      <c r="IJ598" s="335"/>
      <c r="IK598" s="336"/>
      <c r="IL598" s="336"/>
    </row>
    <row r="599" spans="244:246" ht="15.75" hidden="1" x14ac:dyDescent="0.2">
      <c r="IJ599" s="335"/>
      <c r="IK599" s="336"/>
      <c r="IL599" s="336"/>
    </row>
    <row r="600" spans="244:246" ht="15.75" hidden="1" x14ac:dyDescent="0.2">
      <c r="IJ600" s="335"/>
      <c r="IK600" s="336"/>
      <c r="IL600" s="336"/>
    </row>
    <row r="601" spans="244:246" ht="15.75" hidden="1" x14ac:dyDescent="0.2">
      <c r="IJ601" s="335"/>
      <c r="IK601" s="336"/>
      <c r="IL601" s="336"/>
    </row>
    <row r="602" spans="244:246" ht="15.75" hidden="1" x14ac:dyDescent="0.2">
      <c r="IJ602" s="335"/>
      <c r="IK602" s="336"/>
      <c r="IL602" s="336"/>
    </row>
    <row r="603" spans="244:246" ht="15.75" hidden="1" x14ac:dyDescent="0.2">
      <c r="IJ603" s="335"/>
      <c r="IK603" s="336"/>
      <c r="IL603" s="336"/>
    </row>
    <row r="604" spans="244:246" ht="15.75" hidden="1" x14ac:dyDescent="0.2">
      <c r="IJ604" s="335"/>
      <c r="IK604" s="336"/>
      <c r="IL604" s="336"/>
    </row>
    <row r="605" spans="244:246" ht="15.75" hidden="1" x14ac:dyDescent="0.2">
      <c r="IJ605" s="335"/>
      <c r="IK605" s="336"/>
      <c r="IL605" s="336"/>
    </row>
    <row r="606" spans="244:246" ht="15.75" hidden="1" x14ac:dyDescent="0.2">
      <c r="IJ606" s="335"/>
      <c r="IK606" s="336"/>
      <c r="IL606" s="336"/>
    </row>
    <row r="607" spans="244:246" ht="15.75" hidden="1" x14ac:dyDescent="0.2">
      <c r="IJ607" s="335"/>
      <c r="IK607" s="336"/>
      <c r="IL607" s="336"/>
    </row>
    <row r="608" spans="244:246" ht="15.75" hidden="1" x14ac:dyDescent="0.2">
      <c r="IJ608" s="335"/>
      <c r="IK608" s="336"/>
      <c r="IL608" s="336"/>
    </row>
    <row r="609" spans="244:246" ht="15.75" hidden="1" x14ac:dyDescent="0.2">
      <c r="IJ609" s="335"/>
      <c r="IK609" s="336"/>
      <c r="IL609" s="336"/>
    </row>
    <row r="610" spans="244:246" ht="15.75" hidden="1" x14ac:dyDescent="0.2">
      <c r="IJ610" s="335"/>
      <c r="IK610" s="336"/>
      <c r="IL610" s="336"/>
    </row>
    <row r="611" spans="244:246" ht="15.75" hidden="1" x14ac:dyDescent="0.2">
      <c r="IJ611" s="335"/>
      <c r="IK611" s="336"/>
      <c r="IL611" s="336"/>
    </row>
    <row r="612" spans="244:246" ht="15.75" hidden="1" x14ac:dyDescent="0.2">
      <c r="IJ612" s="335"/>
      <c r="IK612" s="336"/>
      <c r="IL612" s="336"/>
    </row>
    <row r="613" spans="244:246" ht="15.75" hidden="1" x14ac:dyDescent="0.2">
      <c r="IJ613" s="335"/>
      <c r="IK613" s="336"/>
      <c r="IL613" s="336"/>
    </row>
    <row r="614" spans="244:246" ht="15.75" hidden="1" x14ac:dyDescent="0.2">
      <c r="IJ614" s="335"/>
      <c r="IK614" s="336"/>
      <c r="IL614" s="336"/>
    </row>
    <row r="615" spans="244:246" ht="15.75" hidden="1" x14ac:dyDescent="0.2">
      <c r="IJ615" s="335"/>
      <c r="IK615" s="336"/>
      <c r="IL615" s="336"/>
    </row>
    <row r="616" spans="244:246" ht="15.75" hidden="1" x14ac:dyDescent="0.2">
      <c r="IJ616" s="335"/>
      <c r="IK616" s="336"/>
      <c r="IL616" s="336"/>
    </row>
    <row r="617" spans="244:246" ht="15.75" hidden="1" x14ac:dyDescent="0.2">
      <c r="IJ617" s="335"/>
      <c r="IK617" s="336"/>
      <c r="IL617" s="336"/>
    </row>
    <row r="618" spans="244:246" ht="15.75" hidden="1" x14ac:dyDescent="0.2">
      <c r="IJ618" s="335"/>
      <c r="IK618" s="336"/>
      <c r="IL618" s="336"/>
    </row>
    <row r="619" spans="244:246" ht="15.75" hidden="1" x14ac:dyDescent="0.2">
      <c r="IJ619" s="335"/>
      <c r="IK619" s="336"/>
      <c r="IL619" s="336"/>
    </row>
    <row r="620" spans="244:246" ht="15.75" hidden="1" x14ac:dyDescent="0.2">
      <c r="IJ620" s="335"/>
      <c r="IK620" s="336"/>
      <c r="IL620" s="336"/>
    </row>
    <row r="621" spans="244:246" ht="15.75" hidden="1" x14ac:dyDescent="0.2">
      <c r="IJ621" s="335"/>
      <c r="IK621" s="336"/>
      <c r="IL621" s="336"/>
    </row>
    <row r="622" spans="244:246" ht="15.75" hidden="1" x14ac:dyDescent="0.2">
      <c r="IJ622" s="335"/>
      <c r="IK622" s="336"/>
      <c r="IL622" s="336"/>
    </row>
    <row r="623" spans="244:246" ht="15.75" hidden="1" x14ac:dyDescent="0.2">
      <c r="IJ623" s="335"/>
      <c r="IK623" s="336"/>
      <c r="IL623" s="336"/>
    </row>
    <row r="624" spans="244:246" ht="15.75" hidden="1" x14ac:dyDescent="0.2">
      <c r="IJ624" s="335"/>
      <c r="IK624" s="336"/>
      <c r="IL624" s="336"/>
    </row>
    <row r="625" spans="244:246" ht="15.75" hidden="1" x14ac:dyDescent="0.2">
      <c r="IJ625" s="335"/>
      <c r="IK625" s="336"/>
      <c r="IL625" s="336"/>
    </row>
    <row r="626" spans="244:246" ht="15.75" hidden="1" x14ac:dyDescent="0.2">
      <c r="IJ626" s="335"/>
      <c r="IK626" s="336"/>
      <c r="IL626" s="336"/>
    </row>
    <row r="627" spans="244:246" ht="15.75" hidden="1" x14ac:dyDescent="0.2">
      <c r="IJ627" s="335"/>
      <c r="IK627" s="336"/>
      <c r="IL627" s="336"/>
    </row>
    <row r="628" spans="244:246" ht="15.75" hidden="1" x14ac:dyDescent="0.2">
      <c r="IJ628" s="335"/>
      <c r="IK628" s="336"/>
      <c r="IL628" s="336"/>
    </row>
    <row r="629" spans="244:246" ht="15.75" hidden="1" x14ac:dyDescent="0.2">
      <c r="IJ629" s="335"/>
      <c r="IK629" s="336"/>
      <c r="IL629" s="336"/>
    </row>
    <row r="630" spans="244:246" ht="15.75" hidden="1" x14ac:dyDescent="0.2">
      <c r="IJ630" s="335"/>
      <c r="IK630" s="336"/>
      <c r="IL630" s="336"/>
    </row>
    <row r="631" spans="244:246" ht="15.75" hidden="1" x14ac:dyDescent="0.2">
      <c r="IJ631" s="335"/>
      <c r="IK631" s="336"/>
      <c r="IL631" s="336"/>
    </row>
    <row r="632" spans="244:246" ht="15.75" hidden="1" x14ac:dyDescent="0.2">
      <c r="IJ632" s="335"/>
      <c r="IK632" s="336"/>
      <c r="IL632" s="336"/>
    </row>
    <row r="633" spans="244:246" ht="15.75" hidden="1" x14ac:dyDescent="0.2">
      <c r="IJ633" s="335"/>
      <c r="IK633" s="336"/>
      <c r="IL633" s="336"/>
    </row>
    <row r="634" spans="244:246" ht="15.75" hidden="1" x14ac:dyDescent="0.2">
      <c r="IJ634" s="335"/>
      <c r="IK634" s="336"/>
      <c r="IL634" s="336"/>
    </row>
    <row r="635" spans="244:246" ht="15.75" hidden="1" x14ac:dyDescent="0.2">
      <c r="IJ635" s="335"/>
      <c r="IK635" s="336"/>
      <c r="IL635" s="336"/>
    </row>
    <row r="636" spans="244:246" ht="15.75" hidden="1" x14ac:dyDescent="0.2">
      <c r="IJ636" s="335"/>
      <c r="IK636" s="336"/>
      <c r="IL636" s="336"/>
    </row>
    <row r="637" spans="244:246" ht="15.75" hidden="1" x14ac:dyDescent="0.2">
      <c r="IJ637" s="335"/>
      <c r="IK637" s="336"/>
      <c r="IL637" s="336"/>
    </row>
    <row r="638" spans="244:246" ht="15.75" hidden="1" x14ac:dyDescent="0.2">
      <c r="IJ638" s="335"/>
      <c r="IK638" s="336"/>
      <c r="IL638" s="336"/>
    </row>
    <row r="639" spans="244:246" ht="15.75" hidden="1" x14ac:dyDescent="0.2">
      <c r="IJ639" s="335"/>
      <c r="IK639" s="336"/>
      <c r="IL639" s="336"/>
    </row>
    <row r="640" spans="244:246" ht="15.75" hidden="1" x14ac:dyDescent="0.2">
      <c r="IJ640" s="335"/>
      <c r="IK640" s="336"/>
      <c r="IL640" s="336"/>
    </row>
    <row r="641" spans="244:246" ht="15.75" hidden="1" x14ac:dyDescent="0.2">
      <c r="IJ641" s="335"/>
      <c r="IK641" s="336"/>
      <c r="IL641" s="336"/>
    </row>
    <row r="642" spans="244:246" ht="15.75" hidden="1" x14ac:dyDescent="0.2">
      <c r="IJ642" s="335"/>
      <c r="IK642" s="336"/>
      <c r="IL642" s="336"/>
    </row>
    <row r="643" spans="244:246" ht="15.75" hidden="1" x14ac:dyDescent="0.2">
      <c r="IJ643" s="335"/>
      <c r="IK643" s="336"/>
      <c r="IL643" s="336"/>
    </row>
    <row r="644" spans="244:246" ht="15.75" hidden="1" x14ac:dyDescent="0.2">
      <c r="IJ644" s="335"/>
      <c r="IK644" s="336"/>
      <c r="IL644" s="336"/>
    </row>
    <row r="645" spans="244:246" ht="15.75" hidden="1" x14ac:dyDescent="0.2">
      <c r="IJ645" s="335"/>
      <c r="IK645" s="336"/>
      <c r="IL645" s="336"/>
    </row>
    <row r="646" spans="244:246" ht="15.75" hidden="1" x14ac:dyDescent="0.2">
      <c r="IJ646" s="335"/>
      <c r="IK646" s="336"/>
      <c r="IL646" s="336"/>
    </row>
    <row r="647" spans="244:246" ht="15.75" hidden="1" x14ac:dyDescent="0.2">
      <c r="IJ647" s="335"/>
      <c r="IK647" s="336"/>
      <c r="IL647" s="336"/>
    </row>
    <row r="648" spans="244:246" ht="15.75" hidden="1" x14ac:dyDescent="0.2">
      <c r="IJ648" s="335"/>
      <c r="IK648" s="336"/>
      <c r="IL648" s="336"/>
    </row>
    <row r="649" spans="244:246" ht="15.75" hidden="1" x14ac:dyDescent="0.2">
      <c r="IJ649" s="335"/>
      <c r="IK649" s="336"/>
      <c r="IL649" s="336"/>
    </row>
    <row r="650" spans="244:246" ht="15.75" hidden="1" x14ac:dyDescent="0.2">
      <c r="IJ650" s="335"/>
      <c r="IK650" s="336"/>
      <c r="IL650" s="336"/>
    </row>
    <row r="651" spans="244:246" ht="15.75" hidden="1" x14ac:dyDescent="0.2">
      <c r="IJ651" s="335"/>
      <c r="IK651" s="336"/>
      <c r="IL651" s="336"/>
    </row>
    <row r="652" spans="244:246" ht="15.75" hidden="1" x14ac:dyDescent="0.2">
      <c r="IJ652" s="335"/>
      <c r="IK652" s="336"/>
      <c r="IL652" s="336"/>
    </row>
    <row r="653" spans="244:246" ht="15.75" hidden="1" x14ac:dyDescent="0.2">
      <c r="IJ653" s="335"/>
      <c r="IK653" s="336"/>
      <c r="IL653" s="336"/>
    </row>
    <row r="654" spans="244:246" ht="15.75" hidden="1" x14ac:dyDescent="0.2">
      <c r="IJ654" s="335"/>
      <c r="IK654" s="336"/>
      <c r="IL654" s="336"/>
    </row>
    <row r="655" spans="244:246" ht="15.75" hidden="1" x14ac:dyDescent="0.2">
      <c r="IJ655" s="335"/>
      <c r="IK655" s="336"/>
      <c r="IL655" s="336"/>
    </row>
    <row r="656" spans="244:246" ht="15.75" hidden="1" x14ac:dyDescent="0.2">
      <c r="IJ656" s="335"/>
      <c r="IK656" s="336"/>
      <c r="IL656" s="336"/>
    </row>
    <row r="657" spans="244:246" ht="15.75" hidden="1" x14ac:dyDescent="0.2">
      <c r="IJ657" s="335"/>
      <c r="IK657" s="336"/>
      <c r="IL657" s="336"/>
    </row>
    <row r="658" spans="244:246" ht="15.75" hidden="1" x14ac:dyDescent="0.2">
      <c r="IJ658" s="335"/>
      <c r="IK658" s="336"/>
      <c r="IL658" s="336"/>
    </row>
    <row r="659" spans="244:246" ht="15.75" hidden="1" x14ac:dyDescent="0.2">
      <c r="IJ659" s="335"/>
      <c r="IK659" s="336"/>
      <c r="IL659" s="336"/>
    </row>
    <row r="660" spans="244:246" ht="15.75" hidden="1" x14ac:dyDescent="0.2">
      <c r="IJ660" s="335"/>
      <c r="IK660" s="336"/>
      <c r="IL660" s="336"/>
    </row>
    <row r="661" spans="244:246" ht="15.75" hidden="1" x14ac:dyDescent="0.2">
      <c r="IJ661" s="335"/>
      <c r="IK661" s="336"/>
      <c r="IL661" s="336"/>
    </row>
    <row r="662" spans="244:246" ht="15.75" hidden="1" x14ac:dyDescent="0.2">
      <c r="IJ662" s="335"/>
      <c r="IK662" s="336"/>
      <c r="IL662" s="336"/>
    </row>
    <row r="663" spans="244:246" ht="15.75" hidden="1" x14ac:dyDescent="0.2">
      <c r="IJ663" s="335"/>
      <c r="IK663" s="336"/>
      <c r="IL663" s="336"/>
    </row>
    <row r="664" spans="244:246" ht="15.75" hidden="1" x14ac:dyDescent="0.2">
      <c r="IJ664" s="335"/>
      <c r="IK664" s="336"/>
      <c r="IL664" s="336"/>
    </row>
    <row r="665" spans="244:246" ht="15.75" hidden="1" x14ac:dyDescent="0.2">
      <c r="IJ665" s="335"/>
      <c r="IK665" s="336"/>
      <c r="IL665" s="336"/>
    </row>
    <row r="666" spans="244:246" ht="15.75" hidden="1" x14ac:dyDescent="0.2">
      <c r="IJ666" s="335"/>
      <c r="IK666" s="336"/>
      <c r="IL666" s="336"/>
    </row>
    <row r="667" spans="244:246" ht="15.75" hidden="1" x14ac:dyDescent="0.2">
      <c r="IJ667" s="335"/>
      <c r="IK667" s="336"/>
      <c r="IL667" s="336"/>
    </row>
    <row r="668" spans="244:246" ht="15.75" hidden="1" x14ac:dyDescent="0.2">
      <c r="IJ668" s="335"/>
      <c r="IK668" s="336"/>
      <c r="IL668" s="336"/>
    </row>
    <row r="669" spans="244:246" ht="15.75" hidden="1" x14ac:dyDescent="0.2">
      <c r="IJ669" s="335"/>
      <c r="IK669" s="336"/>
      <c r="IL669" s="336"/>
    </row>
    <row r="670" spans="244:246" ht="15.75" hidden="1" x14ac:dyDescent="0.2">
      <c r="IJ670" s="335"/>
      <c r="IK670" s="336"/>
      <c r="IL670" s="336"/>
    </row>
    <row r="671" spans="244:246" ht="15.75" hidden="1" x14ac:dyDescent="0.2">
      <c r="IJ671" s="335"/>
      <c r="IK671" s="336"/>
      <c r="IL671" s="336"/>
    </row>
    <row r="672" spans="244:246" ht="15.75" hidden="1" x14ac:dyDescent="0.2">
      <c r="IJ672" s="335"/>
      <c r="IK672" s="336"/>
      <c r="IL672" s="336"/>
    </row>
    <row r="673" spans="244:246" ht="15.75" hidden="1" x14ac:dyDescent="0.2">
      <c r="IJ673" s="335"/>
      <c r="IK673" s="336"/>
      <c r="IL673" s="336"/>
    </row>
    <row r="674" spans="244:246" ht="15.75" hidden="1" x14ac:dyDescent="0.2">
      <c r="IJ674" s="335"/>
      <c r="IK674" s="336"/>
      <c r="IL674" s="336"/>
    </row>
    <row r="675" spans="244:246" ht="15.75" hidden="1" x14ac:dyDescent="0.2">
      <c r="IJ675" s="335"/>
      <c r="IK675" s="336"/>
      <c r="IL675" s="336"/>
    </row>
    <row r="676" spans="244:246" ht="15.75" hidden="1" x14ac:dyDescent="0.2">
      <c r="IJ676" s="335"/>
      <c r="IK676" s="336"/>
      <c r="IL676" s="336"/>
    </row>
    <row r="677" spans="244:246" ht="15.75" hidden="1" x14ac:dyDescent="0.2">
      <c r="IJ677" s="335"/>
      <c r="IK677" s="336"/>
      <c r="IL677" s="336"/>
    </row>
    <row r="678" spans="244:246" ht="15.75" hidden="1" x14ac:dyDescent="0.2">
      <c r="IJ678" s="335"/>
      <c r="IK678" s="336"/>
      <c r="IL678" s="336"/>
    </row>
    <row r="679" spans="244:246" ht="15.75" hidden="1" x14ac:dyDescent="0.2">
      <c r="IJ679" s="335"/>
      <c r="IK679" s="336"/>
      <c r="IL679" s="336"/>
    </row>
    <row r="680" spans="244:246" ht="15.75" hidden="1" x14ac:dyDescent="0.2">
      <c r="IJ680" s="335"/>
      <c r="IK680" s="336"/>
      <c r="IL680" s="336"/>
    </row>
    <row r="681" spans="244:246" ht="15.75" hidden="1" x14ac:dyDescent="0.2">
      <c r="IJ681" s="335"/>
      <c r="IK681" s="336"/>
      <c r="IL681" s="336"/>
    </row>
    <row r="682" spans="244:246" ht="15.75" hidden="1" x14ac:dyDescent="0.2">
      <c r="IJ682" s="335"/>
      <c r="IK682" s="336"/>
      <c r="IL682" s="336"/>
    </row>
    <row r="683" spans="244:246" ht="15.75" hidden="1" x14ac:dyDescent="0.2">
      <c r="IJ683" s="335"/>
      <c r="IK683" s="336"/>
      <c r="IL683" s="336"/>
    </row>
    <row r="684" spans="244:246" ht="15.75" hidden="1" x14ac:dyDescent="0.2">
      <c r="IJ684" s="335"/>
      <c r="IK684" s="336"/>
      <c r="IL684" s="336"/>
    </row>
    <row r="685" spans="244:246" ht="15.75" hidden="1" x14ac:dyDescent="0.2">
      <c r="IJ685" s="335"/>
      <c r="IK685" s="336"/>
      <c r="IL685" s="336"/>
    </row>
    <row r="686" spans="244:246" ht="15.75" hidden="1" x14ac:dyDescent="0.2">
      <c r="IJ686" s="335"/>
      <c r="IK686" s="336"/>
      <c r="IL686" s="336"/>
    </row>
    <row r="687" spans="244:246" ht="15.75" hidden="1" x14ac:dyDescent="0.2">
      <c r="IJ687" s="335"/>
      <c r="IK687" s="336"/>
      <c r="IL687" s="336"/>
    </row>
    <row r="688" spans="244:246" ht="15.75" hidden="1" x14ac:dyDescent="0.2">
      <c r="IJ688" s="335"/>
      <c r="IK688" s="336"/>
      <c r="IL688" s="336"/>
    </row>
    <row r="689" spans="244:246" ht="15.75" hidden="1" x14ac:dyDescent="0.2">
      <c r="IJ689" s="335"/>
      <c r="IK689" s="336"/>
      <c r="IL689" s="336"/>
    </row>
    <row r="690" spans="244:246" ht="15.75" hidden="1" x14ac:dyDescent="0.2">
      <c r="IJ690" s="335"/>
      <c r="IK690" s="336"/>
      <c r="IL690" s="336"/>
    </row>
    <row r="691" spans="244:246" ht="15.75" hidden="1" x14ac:dyDescent="0.2">
      <c r="IJ691" s="335"/>
      <c r="IK691" s="336"/>
      <c r="IL691" s="336"/>
    </row>
    <row r="692" spans="244:246" ht="15.75" hidden="1" x14ac:dyDescent="0.2">
      <c r="IJ692" s="335"/>
      <c r="IK692" s="336"/>
      <c r="IL692" s="336"/>
    </row>
    <row r="693" spans="244:246" ht="15.75" hidden="1" x14ac:dyDescent="0.2">
      <c r="IJ693" s="335"/>
      <c r="IK693" s="336"/>
      <c r="IL693" s="336"/>
    </row>
    <row r="694" spans="244:246" ht="15.75" hidden="1" x14ac:dyDescent="0.2">
      <c r="IJ694" s="335"/>
      <c r="IK694" s="336"/>
      <c r="IL694" s="336"/>
    </row>
    <row r="695" spans="244:246" ht="15.75" hidden="1" x14ac:dyDescent="0.2">
      <c r="IJ695" s="335"/>
      <c r="IK695" s="336"/>
      <c r="IL695" s="336"/>
    </row>
    <row r="696" spans="244:246" ht="15.75" hidden="1" x14ac:dyDescent="0.2">
      <c r="IJ696" s="335"/>
      <c r="IK696" s="336"/>
      <c r="IL696" s="336"/>
    </row>
    <row r="697" spans="244:246" ht="15.75" hidden="1" x14ac:dyDescent="0.2">
      <c r="IJ697" s="335"/>
      <c r="IK697" s="336"/>
      <c r="IL697" s="336"/>
    </row>
    <row r="698" spans="244:246" ht="15.75" hidden="1" x14ac:dyDescent="0.2">
      <c r="IJ698" s="335"/>
      <c r="IK698" s="336"/>
      <c r="IL698" s="336"/>
    </row>
    <row r="699" spans="244:246" ht="15.75" hidden="1" x14ac:dyDescent="0.2">
      <c r="IJ699" s="335"/>
      <c r="IK699" s="336"/>
      <c r="IL699" s="336"/>
    </row>
    <row r="700" spans="244:246" ht="15.75" hidden="1" x14ac:dyDescent="0.2">
      <c r="IJ700" s="335"/>
      <c r="IK700" s="336"/>
      <c r="IL700" s="336"/>
    </row>
    <row r="701" spans="244:246" ht="15.75" hidden="1" x14ac:dyDescent="0.2">
      <c r="IJ701" s="335"/>
      <c r="IK701" s="336"/>
      <c r="IL701" s="336"/>
    </row>
    <row r="702" spans="244:246" ht="15.75" hidden="1" x14ac:dyDescent="0.2">
      <c r="IJ702" s="335"/>
      <c r="IK702" s="336"/>
      <c r="IL702" s="336"/>
    </row>
    <row r="703" spans="244:246" ht="15.75" hidden="1" x14ac:dyDescent="0.2">
      <c r="IJ703" s="335"/>
      <c r="IK703" s="336"/>
      <c r="IL703" s="336"/>
    </row>
    <row r="704" spans="244:246" ht="15.75" hidden="1" x14ac:dyDescent="0.2">
      <c r="IJ704" s="335"/>
      <c r="IK704" s="336"/>
      <c r="IL704" s="336"/>
    </row>
    <row r="705" spans="244:246" ht="15.75" hidden="1" x14ac:dyDescent="0.2">
      <c r="IJ705" s="335"/>
      <c r="IK705" s="336"/>
      <c r="IL705" s="336"/>
    </row>
    <row r="706" spans="244:246" ht="15.75" hidden="1" x14ac:dyDescent="0.2">
      <c r="IJ706" s="335"/>
      <c r="IK706" s="336"/>
      <c r="IL706" s="336"/>
    </row>
    <row r="707" spans="244:246" ht="15.75" hidden="1" x14ac:dyDescent="0.2">
      <c r="IJ707" s="335"/>
      <c r="IK707" s="336"/>
      <c r="IL707" s="336"/>
    </row>
    <row r="708" spans="244:246" ht="15.75" hidden="1" x14ac:dyDescent="0.2">
      <c r="IJ708" s="335"/>
      <c r="IK708" s="336"/>
      <c r="IL708" s="336"/>
    </row>
    <row r="709" spans="244:246" ht="15.75" hidden="1" x14ac:dyDescent="0.2">
      <c r="IJ709" s="335"/>
      <c r="IK709" s="336"/>
      <c r="IL709" s="336"/>
    </row>
    <row r="710" spans="244:246" ht="15.75" hidden="1" x14ac:dyDescent="0.2">
      <c r="IJ710" s="335"/>
      <c r="IK710" s="336"/>
      <c r="IL710" s="336"/>
    </row>
    <row r="711" spans="244:246" ht="15.75" hidden="1" x14ac:dyDescent="0.2">
      <c r="IJ711" s="335"/>
      <c r="IK711" s="336"/>
      <c r="IL711" s="336"/>
    </row>
    <row r="712" spans="244:246" ht="15.75" hidden="1" x14ac:dyDescent="0.2">
      <c r="IJ712" s="335"/>
      <c r="IK712" s="336"/>
      <c r="IL712" s="336"/>
    </row>
    <row r="713" spans="244:246" ht="15.75" hidden="1" x14ac:dyDescent="0.2">
      <c r="IJ713" s="335"/>
      <c r="IK713" s="336"/>
      <c r="IL713" s="336"/>
    </row>
    <row r="714" spans="244:246" ht="15.75" hidden="1" x14ac:dyDescent="0.2">
      <c r="IJ714" s="335"/>
      <c r="IK714" s="336"/>
      <c r="IL714" s="336"/>
    </row>
    <row r="715" spans="244:246" ht="15.75" hidden="1" x14ac:dyDescent="0.2">
      <c r="IJ715" s="335"/>
      <c r="IK715" s="336"/>
      <c r="IL715" s="336"/>
    </row>
    <row r="716" spans="244:246" ht="15.75" hidden="1" x14ac:dyDescent="0.2">
      <c r="IJ716" s="335"/>
      <c r="IK716" s="336"/>
      <c r="IL716" s="336"/>
    </row>
    <row r="717" spans="244:246" ht="15.75" hidden="1" x14ac:dyDescent="0.2">
      <c r="IJ717" s="335"/>
      <c r="IK717" s="336"/>
      <c r="IL717" s="336"/>
    </row>
    <row r="718" spans="244:246" ht="15.75" hidden="1" x14ac:dyDescent="0.2">
      <c r="IJ718" s="335"/>
      <c r="IK718" s="336"/>
      <c r="IL718" s="336"/>
    </row>
    <row r="719" spans="244:246" ht="15.75" hidden="1" x14ac:dyDescent="0.2">
      <c r="IJ719" s="335"/>
      <c r="IK719" s="336"/>
      <c r="IL719" s="336"/>
    </row>
    <row r="720" spans="244:246" ht="15.75" hidden="1" x14ac:dyDescent="0.2">
      <c r="IJ720" s="335"/>
      <c r="IK720" s="336"/>
      <c r="IL720" s="336"/>
    </row>
    <row r="721" spans="244:246" ht="15.75" hidden="1" x14ac:dyDescent="0.2">
      <c r="IJ721" s="335"/>
      <c r="IK721" s="336"/>
      <c r="IL721" s="336"/>
    </row>
    <row r="722" spans="244:246" ht="15.75" hidden="1" x14ac:dyDescent="0.2">
      <c r="IJ722" s="335"/>
      <c r="IK722" s="336"/>
      <c r="IL722" s="336"/>
    </row>
    <row r="723" spans="244:246" ht="15.75" hidden="1" x14ac:dyDescent="0.2">
      <c r="IJ723" s="335"/>
      <c r="IK723" s="336"/>
      <c r="IL723" s="336"/>
    </row>
    <row r="724" spans="244:246" ht="15.75" hidden="1" x14ac:dyDescent="0.2">
      <c r="IJ724" s="335"/>
      <c r="IK724" s="336"/>
      <c r="IL724" s="336"/>
    </row>
    <row r="725" spans="244:246" ht="15.75" hidden="1" x14ac:dyDescent="0.2">
      <c r="IJ725" s="335"/>
      <c r="IK725" s="336"/>
      <c r="IL725" s="336"/>
    </row>
    <row r="726" spans="244:246" ht="15.75" hidden="1" x14ac:dyDescent="0.2">
      <c r="IJ726" s="335"/>
      <c r="IK726" s="336"/>
      <c r="IL726" s="336"/>
    </row>
    <row r="727" spans="244:246" ht="15.75" hidden="1" x14ac:dyDescent="0.2">
      <c r="IJ727" s="335"/>
      <c r="IK727" s="336"/>
      <c r="IL727" s="336"/>
    </row>
    <row r="728" spans="244:246" ht="15.75" hidden="1" x14ac:dyDescent="0.2">
      <c r="IJ728" s="335"/>
      <c r="IK728" s="336"/>
      <c r="IL728" s="336"/>
    </row>
    <row r="729" spans="244:246" ht="15.75" hidden="1" x14ac:dyDescent="0.2">
      <c r="IJ729" s="335"/>
      <c r="IK729" s="336"/>
      <c r="IL729" s="336"/>
    </row>
    <row r="730" spans="244:246" ht="15.75" hidden="1" x14ac:dyDescent="0.2">
      <c r="IJ730" s="335"/>
      <c r="IK730" s="336"/>
      <c r="IL730" s="336"/>
    </row>
    <row r="731" spans="244:246" ht="15.75" hidden="1" x14ac:dyDescent="0.2">
      <c r="IJ731" s="335"/>
      <c r="IK731" s="336"/>
      <c r="IL731" s="336"/>
    </row>
    <row r="732" spans="244:246" ht="15.75" hidden="1" x14ac:dyDescent="0.2">
      <c r="IJ732" s="335"/>
      <c r="IK732" s="336"/>
      <c r="IL732" s="336"/>
    </row>
    <row r="733" spans="244:246" ht="15.75" hidden="1" x14ac:dyDescent="0.2">
      <c r="IJ733" s="335"/>
      <c r="IK733" s="336"/>
      <c r="IL733" s="336"/>
    </row>
    <row r="734" spans="244:246" ht="15.75" hidden="1" x14ac:dyDescent="0.2">
      <c r="IJ734" s="335"/>
      <c r="IK734" s="336"/>
      <c r="IL734" s="336"/>
    </row>
    <row r="735" spans="244:246" ht="15.75" hidden="1" x14ac:dyDescent="0.2">
      <c r="IJ735" s="335"/>
      <c r="IK735" s="336"/>
      <c r="IL735" s="336"/>
    </row>
    <row r="736" spans="244:246" ht="15.75" hidden="1" x14ac:dyDescent="0.2">
      <c r="IJ736" s="335"/>
      <c r="IK736" s="336"/>
      <c r="IL736" s="336"/>
    </row>
    <row r="737" spans="244:246" ht="15.75" hidden="1" x14ac:dyDescent="0.2">
      <c r="IJ737" s="335"/>
      <c r="IK737" s="336"/>
      <c r="IL737" s="336"/>
    </row>
    <row r="738" spans="244:246" ht="15.75" hidden="1" x14ac:dyDescent="0.2">
      <c r="IJ738" s="335"/>
      <c r="IK738" s="336"/>
      <c r="IL738" s="336"/>
    </row>
    <row r="739" spans="244:246" ht="15.75" hidden="1" x14ac:dyDescent="0.2">
      <c r="IJ739" s="335"/>
      <c r="IK739" s="336"/>
      <c r="IL739" s="336"/>
    </row>
    <row r="740" spans="244:246" ht="15.75" hidden="1" x14ac:dyDescent="0.2">
      <c r="IJ740" s="335"/>
      <c r="IK740" s="336"/>
      <c r="IL740" s="336"/>
    </row>
    <row r="741" spans="244:246" ht="15.75" hidden="1" x14ac:dyDescent="0.2">
      <c r="IJ741" s="335"/>
      <c r="IK741" s="336"/>
      <c r="IL741" s="336"/>
    </row>
    <row r="742" spans="244:246" ht="15.75" hidden="1" x14ac:dyDescent="0.2">
      <c r="IJ742" s="335"/>
      <c r="IK742" s="336"/>
      <c r="IL742" s="336"/>
    </row>
    <row r="743" spans="244:246" ht="15.75" hidden="1" x14ac:dyDescent="0.2">
      <c r="IJ743" s="335"/>
      <c r="IK743" s="336"/>
      <c r="IL743" s="336"/>
    </row>
    <row r="744" spans="244:246" ht="15.75" hidden="1" x14ac:dyDescent="0.2">
      <c r="IJ744" s="335"/>
      <c r="IK744" s="336"/>
      <c r="IL744" s="336"/>
    </row>
    <row r="745" spans="244:246" ht="15.75" hidden="1" x14ac:dyDescent="0.2">
      <c r="IJ745" s="335"/>
      <c r="IK745" s="336"/>
      <c r="IL745" s="336"/>
    </row>
    <row r="746" spans="244:246" ht="15.75" hidden="1" x14ac:dyDescent="0.2">
      <c r="IJ746" s="335"/>
      <c r="IK746" s="336"/>
      <c r="IL746" s="336"/>
    </row>
    <row r="747" spans="244:246" ht="15.75" hidden="1" x14ac:dyDescent="0.2">
      <c r="IJ747" s="335"/>
      <c r="IK747" s="336"/>
      <c r="IL747" s="336"/>
    </row>
    <row r="748" spans="244:246" ht="15.75" hidden="1" x14ac:dyDescent="0.2">
      <c r="IJ748" s="335"/>
      <c r="IK748" s="336"/>
      <c r="IL748" s="336"/>
    </row>
    <row r="749" spans="244:246" ht="15.75" hidden="1" x14ac:dyDescent="0.2">
      <c r="IJ749" s="335"/>
      <c r="IK749" s="336"/>
      <c r="IL749" s="336"/>
    </row>
    <row r="750" spans="244:246" ht="15.75" hidden="1" x14ac:dyDescent="0.2">
      <c r="IJ750" s="335"/>
      <c r="IK750" s="336"/>
      <c r="IL750" s="336"/>
    </row>
    <row r="751" spans="244:246" ht="15.75" hidden="1" x14ac:dyDescent="0.2">
      <c r="IJ751" s="335"/>
      <c r="IK751" s="336"/>
      <c r="IL751" s="336"/>
    </row>
    <row r="752" spans="244:246" ht="15.75" hidden="1" x14ac:dyDescent="0.2">
      <c r="IJ752" s="335"/>
      <c r="IK752" s="336"/>
      <c r="IL752" s="336"/>
    </row>
    <row r="753" spans="244:246" ht="15.75" hidden="1" x14ac:dyDescent="0.2">
      <c r="IJ753" s="335"/>
      <c r="IK753" s="336"/>
      <c r="IL753" s="336"/>
    </row>
    <row r="754" spans="244:246" ht="15.75" hidden="1" x14ac:dyDescent="0.2">
      <c r="IJ754" s="335"/>
      <c r="IK754" s="336"/>
      <c r="IL754" s="336"/>
    </row>
    <row r="755" spans="244:246" ht="15.75" hidden="1" x14ac:dyDescent="0.2">
      <c r="IJ755" s="335"/>
      <c r="IK755" s="336"/>
      <c r="IL755" s="336"/>
    </row>
  </sheetData>
  <sheetProtection algorithmName="SHA-512" hashValue="WV2IbUGcLdbyaWsa/jC5VavNLg+gz7St+Z10GDlZ5oN/sDPtnRjXx7ItFM+Qw9tsCsThuDyM6sLa82ShzdSqTw==" saltValue="hRRjaDx9X8cMwEIFWlXbtQ==" spinCount="100000" sheet="1" objects="1" scenarios="1"/>
  <mergeCells count="868">
    <mergeCell ref="D39:E39"/>
    <mergeCell ref="IJ417:IL417"/>
    <mergeCell ref="IJ415:IL415"/>
    <mergeCell ref="IJ384:IL384"/>
    <mergeCell ref="IJ381:IL382"/>
    <mergeCell ref="IJ407:IL407"/>
    <mergeCell ref="IJ404:IL404"/>
    <mergeCell ref="IJ406:IL406"/>
    <mergeCell ref="IJ412:IL412"/>
    <mergeCell ref="IJ399:IL399"/>
    <mergeCell ref="IJ397:IL397"/>
    <mergeCell ref="IJ409:IL409"/>
    <mergeCell ref="IJ410:IL410"/>
    <mergeCell ref="IJ411:IL411"/>
    <mergeCell ref="IJ398:IL398"/>
    <mergeCell ref="IJ414:IL414"/>
    <mergeCell ref="IJ393:IL393"/>
    <mergeCell ref="IJ394:IL394"/>
    <mergeCell ref="IJ413:IL413"/>
    <mergeCell ref="IJ391:IL391"/>
    <mergeCell ref="IJ400:IL400"/>
    <mergeCell ref="IJ401:IL401"/>
    <mergeCell ref="IJ402:IL402"/>
    <mergeCell ref="IJ403:IL403"/>
    <mergeCell ref="BG29:BH29"/>
    <mergeCell ref="BG27:BH27"/>
    <mergeCell ref="BE27:BF27"/>
    <mergeCell ref="BE28:BF28"/>
    <mergeCell ref="IJ395:IL395"/>
    <mergeCell ref="BG30:BH30"/>
    <mergeCell ref="BE30:BF30"/>
    <mergeCell ref="AW22:BH23"/>
    <mergeCell ref="BA24:BA25"/>
    <mergeCell ref="BD24:BD25"/>
    <mergeCell ref="AW31:AY31"/>
    <mergeCell ref="AW30:AY30"/>
    <mergeCell ref="BE33:BF33"/>
    <mergeCell ref="BE38:BF38"/>
    <mergeCell ref="BB36:BC36"/>
    <mergeCell ref="BB35:BC35"/>
    <mergeCell ref="BE37:BF37"/>
    <mergeCell ref="BB26:BC26"/>
    <mergeCell ref="BE26:BF26"/>
    <mergeCell ref="BB27:BC27"/>
    <mergeCell ref="BE29:BF29"/>
    <mergeCell ref="BB31:BC31"/>
    <mergeCell ref="BG31:BH31"/>
    <mergeCell ref="BE31:BF31"/>
    <mergeCell ref="BG35:BH35"/>
    <mergeCell ref="BG37:BH37"/>
    <mergeCell ref="BG36:BH36"/>
    <mergeCell ref="IJ389:IL389"/>
    <mergeCell ref="BB37:BC37"/>
    <mergeCell ref="BB38:BC38"/>
    <mergeCell ref="BB32:BC32"/>
    <mergeCell ref="BB33:BC33"/>
    <mergeCell ref="BB34:BC34"/>
    <mergeCell ref="BG33:BH33"/>
    <mergeCell ref="BG38:BH38"/>
    <mergeCell ref="IJ388:IL388"/>
    <mergeCell ref="BG28:BH28"/>
    <mergeCell ref="BA20:BB20"/>
    <mergeCell ref="BB24:BC25"/>
    <mergeCell ref="BC13:BD13"/>
    <mergeCell ref="BC14:BD14"/>
    <mergeCell ref="BC16:BD16"/>
    <mergeCell ref="BA17:BB17"/>
    <mergeCell ref="BA15:BB15"/>
    <mergeCell ref="BG15:BH15"/>
    <mergeCell ref="BG16:BH16"/>
    <mergeCell ref="BG17:BH17"/>
    <mergeCell ref="BG18:BH18"/>
    <mergeCell ref="BE17:BF17"/>
    <mergeCell ref="BG26:BH26"/>
    <mergeCell ref="BA16:BB16"/>
    <mergeCell ref="BA19:BB19"/>
    <mergeCell ref="BC17:BD17"/>
    <mergeCell ref="BE15:BF15"/>
    <mergeCell ref="BE19:BF19"/>
    <mergeCell ref="BG20:BH20"/>
    <mergeCell ref="BE24:BF25"/>
    <mergeCell ref="BG24:BH25"/>
    <mergeCell ref="AY17:AZ17"/>
    <mergeCell ref="BC9:BD9"/>
    <mergeCell ref="BE16:BF16"/>
    <mergeCell ref="BG19:BH19"/>
    <mergeCell ref="BG14:BH14"/>
    <mergeCell ref="BE12:BF12"/>
    <mergeCell ref="BC18:BD18"/>
    <mergeCell ref="BE14:BF14"/>
    <mergeCell ref="BE20:BF20"/>
    <mergeCell ref="BE18:BF18"/>
    <mergeCell ref="BA13:BB13"/>
    <mergeCell ref="AY16:AZ16"/>
    <mergeCell ref="BG9:BH9"/>
    <mergeCell ref="BG10:BH10"/>
    <mergeCell ref="BG11:BH11"/>
    <mergeCell ref="BG12:BH12"/>
    <mergeCell ref="BE13:BF13"/>
    <mergeCell ref="BC11:BD11"/>
    <mergeCell ref="BG13:BH13"/>
    <mergeCell ref="BE11:BF11"/>
    <mergeCell ref="AB22:AC22"/>
    <mergeCell ref="AF22:AG22"/>
    <mergeCell ref="AD22:AE22"/>
    <mergeCell ref="BA18:BB18"/>
    <mergeCell ref="BB29:BC29"/>
    <mergeCell ref="AW29:AY29"/>
    <mergeCell ref="AH26:AI26"/>
    <mergeCell ref="AH23:AI25"/>
    <mergeCell ref="AW26:AY26"/>
    <mergeCell ref="AW24:AZ25"/>
    <mergeCell ref="AF23:AG25"/>
    <mergeCell ref="AW19:AX19"/>
    <mergeCell ref="AW18:AX18"/>
    <mergeCell ref="AY18:AZ18"/>
    <mergeCell ref="AH22:AI22"/>
    <mergeCell ref="AY19:AZ19"/>
    <mergeCell ref="AJ22:AK22"/>
    <mergeCell ref="AJ23:AK25"/>
    <mergeCell ref="AL22:AM22"/>
    <mergeCell ref="AJ26:AK26"/>
    <mergeCell ref="AJ27:AK27"/>
    <mergeCell ref="AJ28:AK28"/>
    <mergeCell ref="AJ29:AK29"/>
    <mergeCell ref="AP27:AQ27"/>
    <mergeCell ref="AH31:AI31"/>
    <mergeCell ref="BB30:BC30"/>
    <mergeCell ref="AW27:AY27"/>
    <mergeCell ref="AW16:AX16"/>
    <mergeCell ref="BC8:BD8"/>
    <mergeCell ref="AY12:AZ12"/>
    <mergeCell ref="AY10:AZ10"/>
    <mergeCell ref="AW9:AX9"/>
    <mergeCell ref="AY20:AZ20"/>
    <mergeCell ref="AW28:AY28"/>
    <mergeCell ref="BB28:BC28"/>
    <mergeCell ref="AW8:AX8"/>
    <mergeCell ref="BA9:BB9"/>
    <mergeCell ref="BC20:BD20"/>
    <mergeCell ref="BC15:BD15"/>
    <mergeCell ref="BC19:BD19"/>
    <mergeCell ref="BC10:BD10"/>
    <mergeCell ref="AW10:AX10"/>
    <mergeCell ref="BA10:BB10"/>
    <mergeCell ref="BA12:BB12"/>
    <mergeCell ref="AY14:AZ14"/>
    <mergeCell ref="AY15:AZ15"/>
    <mergeCell ref="AW15:AX15"/>
    <mergeCell ref="BC12:BD12"/>
    <mergeCell ref="V22:W22"/>
    <mergeCell ref="N22:O22"/>
    <mergeCell ref="R22:S22"/>
    <mergeCell ref="AY13:AZ13"/>
    <mergeCell ref="AW17:AX17"/>
    <mergeCell ref="AD26:AE26"/>
    <mergeCell ref="AD23:AE25"/>
    <mergeCell ref="AB26:AC26"/>
    <mergeCell ref="AW5:BH7"/>
    <mergeCell ref="BG8:BH8"/>
    <mergeCell ref="BA8:BB8"/>
    <mergeCell ref="BA11:BB11"/>
    <mergeCell ref="BA14:BB14"/>
    <mergeCell ref="AY9:AZ9"/>
    <mergeCell ref="BE8:BF8"/>
    <mergeCell ref="BE9:BF9"/>
    <mergeCell ref="BE10:BF10"/>
    <mergeCell ref="AW11:AX11"/>
    <mergeCell ref="AW12:AX12"/>
    <mergeCell ref="AW13:AX13"/>
    <mergeCell ref="AY11:AZ11"/>
    <mergeCell ref="AW14:AX14"/>
    <mergeCell ref="AY8:AZ8"/>
    <mergeCell ref="AW20:AX20"/>
    <mergeCell ref="F22:G22"/>
    <mergeCell ref="T22:U22"/>
    <mergeCell ref="H22:I22"/>
    <mergeCell ref="P22:Q22"/>
    <mergeCell ref="L26:M26"/>
    <mergeCell ref="M4:AF4"/>
    <mergeCell ref="AD5:AF5"/>
    <mergeCell ref="AD6:AF6"/>
    <mergeCell ref="AA5:AC5"/>
    <mergeCell ref="AA6:AC6"/>
    <mergeCell ref="U5:W5"/>
    <mergeCell ref="U6:W6"/>
    <mergeCell ref="F23:G25"/>
    <mergeCell ref="M6:P6"/>
    <mergeCell ref="T26:U26"/>
    <mergeCell ref="X5:Z5"/>
    <mergeCell ref="R26:S26"/>
    <mergeCell ref="V23:W25"/>
    <mergeCell ref="Z22:AA22"/>
    <mergeCell ref="X22:Y22"/>
    <mergeCell ref="Z26:AA26"/>
    <mergeCell ref="Q6:T6"/>
    <mergeCell ref="X6:Z6"/>
    <mergeCell ref="Z23:AA25"/>
    <mergeCell ref="D30:E30"/>
    <mergeCell ref="D33:E33"/>
    <mergeCell ref="D31:E31"/>
    <mergeCell ref="D32:E32"/>
    <mergeCell ref="M5:P5"/>
    <mergeCell ref="Q5:T5"/>
    <mergeCell ref="D29:E29"/>
    <mergeCell ref="F27:G27"/>
    <mergeCell ref="F28:G28"/>
    <mergeCell ref="F29:G29"/>
    <mergeCell ref="D28:E28"/>
    <mergeCell ref="P26:Q26"/>
    <mergeCell ref="L23:M25"/>
    <mergeCell ref="J23:K25"/>
    <mergeCell ref="N23:O25"/>
    <mergeCell ref="N26:O26"/>
    <mergeCell ref="L22:M22"/>
    <mergeCell ref="D22:E22"/>
    <mergeCell ref="J22:K22"/>
    <mergeCell ref="D26:E26"/>
    <mergeCell ref="D27:E27"/>
    <mergeCell ref="F26:G26"/>
    <mergeCell ref="D23:E25"/>
    <mergeCell ref="H23:I25"/>
    <mergeCell ref="E1:J1"/>
    <mergeCell ref="E6:H6"/>
    <mergeCell ref="I6:L6"/>
    <mergeCell ref="E2:J2"/>
    <mergeCell ref="L1:AH1"/>
    <mergeCell ref="E5:H5"/>
    <mergeCell ref="L2:AI2"/>
    <mergeCell ref="I5:L5"/>
    <mergeCell ref="E4:L4"/>
    <mergeCell ref="H26:I26"/>
    <mergeCell ref="H27:I27"/>
    <mergeCell ref="J30:K30"/>
    <mergeCell ref="J33:K33"/>
    <mergeCell ref="H31:I31"/>
    <mergeCell ref="H32:I32"/>
    <mergeCell ref="H33:I33"/>
    <mergeCell ref="J26:K26"/>
    <mergeCell ref="J27:K27"/>
    <mergeCell ref="H30:I30"/>
    <mergeCell ref="D34:E34"/>
    <mergeCell ref="F32:G32"/>
    <mergeCell ref="D38:E38"/>
    <mergeCell ref="F36:G36"/>
    <mergeCell ref="D37:E37"/>
    <mergeCell ref="D35:E35"/>
    <mergeCell ref="F33:G33"/>
    <mergeCell ref="F34:G34"/>
    <mergeCell ref="D36:E36"/>
    <mergeCell ref="F37:G37"/>
    <mergeCell ref="F35:G35"/>
    <mergeCell ref="F38:G38"/>
    <mergeCell ref="H38:I38"/>
    <mergeCell ref="H36:I36"/>
    <mergeCell ref="H35:I35"/>
    <mergeCell ref="H37:I37"/>
    <mergeCell ref="F30:G30"/>
    <mergeCell ref="F31:G31"/>
    <mergeCell ref="L31:M31"/>
    <mergeCell ref="L32:M32"/>
    <mergeCell ref="H28:I28"/>
    <mergeCell ref="J28:K28"/>
    <mergeCell ref="H29:I29"/>
    <mergeCell ref="J29:K29"/>
    <mergeCell ref="J31:K31"/>
    <mergeCell ref="J32:K32"/>
    <mergeCell ref="L29:M29"/>
    <mergeCell ref="L36:M36"/>
    <mergeCell ref="L34:M34"/>
    <mergeCell ref="J38:K38"/>
    <mergeCell ref="J34:K34"/>
    <mergeCell ref="H34:I34"/>
    <mergeCell ref="P28:Q28"/>
    <mergeCell ref="P29:Q29"/>
    <mergeCell ref="N28:O28"/>
    <mergeCell ref="N29:O29"/>
    <mergeCell ref="L27:M27"/>
    <mergeCell ref="N27:O27"/>
    <mergeCell ref="L28:M28"/>
    <mergeCell ref="L33:M33"/>
    <mergeCell ref="L30:M30"/>
    <mergeCell ref="P31:Q31"/>
    <mergeCell ref="P32:Q32"/>
    <mergeCell ref="P30:Q30"/>
    <mergeCell ref="N30:O30"/>
    <mergeCell ref="N31:O31"/>
    <mergeCell ref="N32:O32"/>
    <mergeCell ref="N33:O33"/>
    <mergeCell ref="N37:O37"/>
    <mergeCell ref="P37:Q37"/>
    <mergeCell ref="N36:O36"/>
    <mergeCell ref="P36:Q36"/>
    <mergeCell ref="N35:O35"/>
    <mergeCell ref="N34:O34"/>
    <mergeCell ref="L35:M35"/>
    <mergeCell ref="P34:Q34"/>
    <mergeCell ref="J35:K35"/>
    <mergeCell ref="V34:W34"/>
    <mergeCell ref="V35:W35"/>
    <mergeCell ref="V36:W36"/>
    <mergeCell ref="T34:U34"/>
    <mergeCell ref="R28:S28"/>
    <mergeCell ref="R29:S29"/>
    <mergeCell ref="R34:S34"/>
    <mergeCell ref="R30:S30"/>
    <mergeCell ref="T30:U30"/>
    <mergeCell ref="V31:W31"/>
    <mergeCell ref="T31:U31"/>
    <mergeCell ref="R31:S31"/>
    <mergeCell ref="V30:W30"/>
    <mergeCell ref="T28:U28"/>
    <mergeCell ref="T29:U29"/>
    <mergeCell ref="N38:O38"/>
    <mergeCell ref="R38:S38"/>
    <mergeCell ref="L37:M37"/>
    <mergeCell ref="L38:M38"/>
    <mergeCell ref="J36:K36"/>
    <mergeCell ref="J37:K37"/>
    <mergeCell ref="P33:Q33"/>
    <mergeCell ref="V33:W33"/>
    <mergeCell ref="V32:W32"/>
    <mergeCell ref="T33:U33"/>
    <mergeCell ref="R33:S33"/>
    <mergeCell ref="R32:S32"/>
    <mergeCell ref="T32:U32"/>
    <mergeCell ref="T37:U37"/>
    <mergeCell ref="R35:S35"/>
    <mergeCell ref="T35:U35"/>
    <mergeCell ref="V38:W38"/>
    <mergeCell ref="T36:U36"/>
    <mergeCell ref="V37:W37"/>
    <mergeCell ref="R36:S36"/>
    <mergeCell ref="T38:U38"/>
    <mergeCell ref="P38:Q38"/>
    <mergeCell ref="R37:S37"/>
    <mergeCell ref="P35:Q35"/>
    <mergeCell ref="AD32:AE32"/>
    <mergeCell ref="AD37:AE37"/>
    <mergeCell ref="AD38:AE38"/>
    <mergeCell ref="AB38:AC38"/>
    <mergeCell ref="AB37:AC37"/>
    <mergeCell ref="AB36:AC36"/>
    <mergeCell ref="AB35:AC35"/>
    <mergeCell ref="Z28:AA28"/>
    <mergeCell ref="X29:Y29"/>
    <mergeCell ref="Z31:AA31"/>
    <mergeCell ref="AD28:AE28"/>
    <mergeCell ref="AD31:AE31"/>
    <mergeCell ref="Z32:AA32"/>
    <mergeCell ref="AD35:AE35"/>
    <mergeCell ref="AB31:AC31"/>
    <mergeCell ref="X35:Y35"/>
    <mergeCell ref="Z35:AA35"/>
    <mergeCell ref="X31:Y31"/>
    <mergeCell ref="X33:Y33"/>
    <mergeCell ref="X30:Y30"/>
    <mergeCell ref="Z34:AA34"/>
    <mergeCell ref="X32:Y32"/>
    <mergeCell ref="X38:Y38"/>
    <mergeCell ref="Z37:AA37"/>
    <mergeCell ref="X36:Y36"/>
    <mergeCell ref="X37:Y37"/>
    <mergeCell ref="Z38:AA38"/>
    <mergeCell ref="Z36:AA36"/>
    <mergeCell ref="AW33:AY33"/>
    <mergeCell ref="AW38:AY38"/>
    <mergeCell ref="AH35:AI35"/>
    <mergeCell ref="AF35:AG35"/>
    <mergeCell ref="AF36:AG36"/>
    <mergeCell ref="X34:Y34"/>
    <mergeCell ref="Z33:AA33"/>
    <mergeCell ref="AF38:AG38"/>
    <mergeCell ref="AF37:AG37"/>
    <mergeCell ref="AF34:AG34"/>
    <mergeCell ref="AD36:AE36"/>
    <mergeCell ref="AD34:AE34"/>
    <mergeCell ref="AD33:AE33"/>
    <mergeCell ref="AW36:AY36"/>
    <mergeCell ref="AH37:AI37"/>
    <mergeCell ref="AJ34:AK34"/>
    <mergeCell ref="AJ35:AK35"/>
    <mergeCell ref="AJ36:AK36"/>
    <mergeCell ref="AJ37:AK37"/>
    <mergeCell ref="AJ38:AK38"/>
    <mergeCell ref="AF31:AG31"/>
    <mergeCell ref="AB33:AC33"/>
    <mergeCell ref="AF32:AG32"/>
    <mergeCell ref="AF33:AG33"/>
    <mergeCell ref="AB34:AC34"/>
    <mergeCell ref="AB32:AC32"/>
    <mergeCell ref="X23:Y25"/>
    <mergeCell ref="P27:Q27"/>
    <mergeCell ref="AF27:AG27"/>
    <mergeCell ref="AF29:AG29"/>
    <mergeCell ref="AF28:AG28"/>
    <mergeCell ref="AF26:AG26"/>
    <mergeCell ref="T23:U25"/>
    <mergeCell ref="X27:Y27"/>
    <mergeCell ref="AB23:AC25"/>
    <mergeCell ref="AB29:AC29"/>
    <mergeCell ref="V27:W27"/>
    <mergeCell ref="AB27:AC27"/>
    <mergeCell ref="AD27:AE27"/>
    <mergeCell ref="X28:Y28"/>
    <mergeCell ref="V28:W28"/>
    <mergeCell ref="P23:Q25"/>
    <mergeCell ref="R23:S25"/>
    <mergeCell ref="T27:U27"/>
    <mergeCell ref="R27:S27"/>
    <mergeCell ref="V26:W26"/>
    <mergeCell ref="AH27:AI27"/>
    <mergeCell ref="AH28:AI28"/>
    <mergeCell ref="AH29:AI29"/>
    <mergeCell ref="Z30:AA30"/>
    <mergeCell ref="AD30:AE30"/>
    <mergeCell ref="AB30:AC30"/>
    <mergeCell ref="Z27:AA27"/>
    <mergeCell ref="Z29:AA29"/>
    <mergeCell ref="AB28:AC28"/>
    <mergeCell ref="AD29:AE29"/>
    <mergeCell ref="AF30:AG30"/>
    <mergeCell ref="V29:W29"/>
    <mergeCell ref="X26:Y26"/>
    <mergeCell ref="AH30:AI30"/>
    <mergeCell ref="AH32:AI32"/>
    <mergeCell ref="BE32:BF32"/>
    <mergeCell ref="IJ416:IL416"/>
    <mergeCell ref="AW32:AY32"/>
    <mergeCell ref="AH38:AI38"/>
    <mergeCell ref="AH33:AI33"/>
    <mergeCell ref="AH34:AI34"/>
    <mergeCell ref="AW37:AY37"/>
    <mergeCell ref="AH36:AI36"/>
    <mergeCell ref="AW35:AY35"/>
    <mergeCell ref="AW34:AY34"/>
    <mergeCell ref="IJ387:IL387"/>
    <mergeCell ref="IJ385:IL385"/>
    <mergeCell ref="IJ386:IL386"/>
    <mergeCell ref="BE36:BF36"/>
    <mergeCell ref="BE35:BF35"/>
    <mergeCell ref="BE34:BF34"/>
    <mergeCell ref="IJ390:IL390"/>
    <mergeCell ref="BG34:BH34"/>
    <mergeCell ref="IJ392:IL392"/>
    <mergeCell ref="IJ408:IL408"/>
    <mergeCell ref="IJ405:IL405"/>
    <mergeCell ref="IJ396:IL396"/>
    <mergeCell ref="BG32:BH32"/>
    <mergeCell ref="IJ430:IL430"/>
    <mergeCell ref="IJ431:IL431"/>
    <mergeCell ref="IJ432:IL432"/>
    <mergeCell ref="IJ424:IL424"/>
    <mergeCell ref="IJ425:IL425"/>
    <mergeCell ref="IJ418:IL418"/>
    <mergeCell ref="IJ419:IL419"/>
    <mergeCell ref="IJ433:IL433"/>
    <mergeCell ref="IJ426:IL426"/>
    <mergeCell ref="IJ427:IL427"/>
    <mergeCell ref="IJ428:IL428"/>
    <mergeCell ref="IJ429:IL429"/>
    <mergeCell ref="IJ423:IL423"/>
    <mergeCell ref="IJ420:IL420"/>
    <mergeCell ref="IJ421:IL421"/>
    <mergeCell ref="IJ422:IL422"/>
    <mergeCell ref="IJ438:IL438"/>
    <mergeCell ref="IJ439:IL439"/>
    <mergeCell ref="IJ440:IL440"/>
    <mergeCell ref="IJ441:IL441"/>
    <mergeCell ref="IJ434:IL434"/>
    <mergeCell ref="IJ435:IL435"/>
    <mergeCell ref="IJ436:IL436"/>
    <mergeCell ref="IJ437:IL437"/>
    <mergeCell ref="IJ446:IL446"/>
    <mergeCell ref="IJ447:IL447"/>
    <mergeCell ref="IJ448:IL448"/>
    <mergeCell ref="IJ449:IL449"/>
    <mergeCell ref="IJ442:IL442"/>
    <mergeCell ref="IJ443:IL443"/>
    <mergeCell ref="IJ444:IL444"/>
    <mergeCell ref="IJ445:IL445"/>
    <mergeCell ref="IJ454:IL454"/>
    <mergeCell ref="IJ455:IL455"/>
    <mergeCell ref="IJ456:IL456"/>
    <mergeCell ref="IJ457:IL457"/>
    <mergeCell ref="IJ450:IL450"/>
    <mergeCell ref="IJ451:IL451"/>
    <mergeCell ref="IJ452:IL452"/>
    <mergeCell ref="IJ453:IL453"/>
    <mergeCell ref="IJ462:IL462"/>
    <mergeCell ref="IJ463:IL463"/>
    <mergeCell ref="IJ464:IL464"/>
    <mergeCell ref="IJ465:IL465"/>
    <mergeCell ref="IJ458:IL458"/>
    <mergeCell ref="IJ459:IL459"/>
    <mergeCell ref="IJ460:IL460"/>
    <mergeCell ref="IJ461:IL461"/>
    <mergeCell ref="IJ470:IL470"/>
    <mergeCell ref="IJ471:IL471"/>
    <mergeCell ref="IJ472:IL472"/>
    <mergeCell ref="IJ473:IL473"/>
    <mergeCell ref="IJ466:IL466"/>
    <mergeCell ref="IJ467:IL467"/>
    <mergeCell ref="IJ468:IL468"/>
    <mergeCell ref="IJ469:IL469"/>
    <mergeCell ref="IJ478:IL478"/>
    <mergeCell ref="IJ479:IL479"/>
    <mergeCell ref="IJ480:IL480"/>
    <mergeCell ref="IJ481:IL481"/>
    <mergeCell ref="IJ474:IL474"/>
    <mergeCell ref="IJ475:IL475"/>
    <mergeCell ref="IJ476:IL476"/>
    <mergeCell ref="IJ477:IL477"/>
    <mergeCell ref="IJ486:IL486"/>
    <mergeCell ref="IJ487:IL487"/>
    <mergeCell ref="IJ488:IL488"/>
    <mergeCell ref="IJ489:IL489"/>
    <mergeCell ref="IJ482:IL482"/>
    <mergeCell ref="IJ483:IL483"/>
    <mergeCell ref="IJ484:IL484"/>
    <mergeCell ref="IJ485:IL485"/>
    <mergeCell ref="IJ494:IL494"/>
    <mergeCell ref="IJ495:IL495"/>
    <mergeCell ref="IJ496:IL496"/>
    <mergeCell ref="IJ497:IL497"/>
    <mergeCell ref="IJ490:IL490"/>
    <mergeCell ref="IJ491:IL491"/>
    <mergeCell ref="IJ492:IL492"/>
    <mergeCell ref="IJ493:IL493"/>
    <mergeCell ref="IJ502:IL502"/>
    <mergeCell ref="IJ503:IL503"/>
    <mergeCell ref="IJ504:IL504"/>
    <mergeCell ref="IJ505:IL505"/>
    <mergeCell ref="IJ498:IL498"/>
    <mergeCell ref="IJ499:IL499"/>
    <mergeCell ref="IJ500:IL500"/>
    <mergeCell ref="IJ501:IL501"/>
    <mergeCell ref="IJ510:IL510"/>
    <mergeCell ref="IJ511:IL511"/>
    <mergeCell ref="IJ512:IL512"/>
    <mergeCell ref="IJ513:IL513"/>
    <mergeCell ref="IJ506:IL506"/>
    <mergeCell ref="IJ507:IL507"/>
    <mergeCell ref="IJ508:IL508"/>
    <mergeCell ref="IJ509:IL509"/>
    <mergeCell ref="IJ518:IL518"/>
    <mergeCell ref="IJ519:IL519"/>
    <mergeCell ref="IJ520:IL520"/>
    <mergeCell ref="IJ521:IL521"/>
    <mergeCell ref="IJ514:IL514"/>
    <mergeCell ref="IJ515:IL515"/>
    <mergeCell ref="IJ516:IL516"/>
    <mergeCell ref="IJ517:IL517"/>
    <mergeCell ref="IJ526:IL526"/>
    <mergeCell ref="IJ527:IL527"/>
    <mergeCell ref="IJ528:IL528"/>
    <mergeCell ref="IJ529:IL529"/>
    <mergeCell ref="IJ522:IL522"/>
    <mergeCell ref="IJ523:IL523"/>
    <mergeCell ref="IJ524:IL524"/>
    <mergeCell ref="IJ525:IL525"/>
    <mergeCell ref="IJ534:IL534"/>
    <mergeCell ref="IJ535:IL535"/>
    <mergeCell ref="IJ536:IL536"/>
    <mergeCell ref="IJ537:IL537"/>
    <mergeCell ref="IJ530:IL530"/>
    <mergeCell ref="IJ531:IL531"/>
    <mergeCell ref="IJ532:IL532"/>
    <mergeCell ref="IJ533:IL533"/>
    <mergeCell ref="IJ542:IL542"/>
    <mergeCell ref="IJ543:IL543"/>
    <mergeCell ref="IJ544:IL544"/>
    <mergeCell ref="IJ545:IL545"/>
    <mergeCell ref="IJ538:IL538"/>
    <mergeCell ref="IJ539:IL539"/>
    <mergeCell ref="IJ540:IL540"/>
    <mergeCell ref="IJ541:IL541"/>
    <mergeCell ref="IJ550:IL550"/>
    <mergeCell ref="IJ551:IL551"/>
    <mergeCell ref="IJ552:IL552"/>
    <mergeCell ref="IJ553:IL553"/>
    <mergeCell ref="IJ546:IL546"/>
    <mergeCell ref="IJ547:IL547"/>
    <mergeCell ref="IJ548:IL548"/>
    <mergeCell ref="IJ549:IL549"/>
    <mergeCell ref="IJ558:IL558"/>
    <mergeCell ref="IJ559:IL559"/>
    <mergeCell ref="IJ560:IL560"/>
    <mergeCell ref="IJ561:IL561"/>
    <mergeCell ref="IJ554:IL554"/>
    <mergeCell ref="IJ555:IL555"/>
    <mergeCell ref="IJ556:IL556"/>
    <mergeCell ref="IJ557:IL557"/>
    <mergeCell ref="IJ566:IL566"/>
    <mergeCell ref="IJ567:IL567"/>
    <mergeCell ref="IJ568:IL568"/>
    <mergeCell ref="IJ569:IL569"/>
    <mergeCell ref="IJ562:IL562"/>
    <mergeCell ref="IJ563:IL563"/>
    <mergeCell ref="IJ564:IL564"/>
    <mergeCell ref="IJ565:IL565"/>
    <mergeCell ref="IJ574:IL574"/>
    <mergeCell ref="IJ575:IL575"/>
    <mergeCell ref="IJ576:IL576"/>
    <mergeCell ref="IJ577:IL577"/>
    <mergeCell ref="IJ570:IL570"/>
    <mergeCell ref="IJ571:IL571"/>
    <mergeCell ref="IJ572:IL572"/>
    <mergeCell ref="IJ573:IL573"/>
    <mergeCell ref="IJ582:IL582"/>
    <mergeCell ref="IJ583:IL583"/>
    <mergeCell ref="IJ584:IL584"/>
    <mergeCell ref="IJ585:IL585"/>
    <mergeCell ref="IJ578:IL578"/>
    <mergeCell ref="IJ579:IL579"/>
    <mergeCell ref="IJ580:IL580"/>
    <mergeCell ref="IJ581:IL581"/>
    <mergeCell ref="IJ590:IL590"/>
    <mergeCell ref="IJ591:IL591"/>
    <mergeCell ref="IJ592:IL592"/>
    <mergeCell ref="IJ593:IL593"/>
    <mergeCell ref="IJ586:IL586"/>
    <mergeCell ref="IJ587:IL587"/>
    <mergeCell ref="IJ588:IL588"/>
    <mergeCell ref="IJ589:IL589"/>
    <mergeCell ref="IJ598:IL598"/>
    <mergeCell ref="IJ599:IL599"/>
    <mergeCell ref="IJ600:IL600"/>
    <mergeCell ref="IJ601:IL601"/>
    <mergeCell ref="IJ594:IL594"/>
    <mergeCell ref="IJ595:IL595"/>
    <mergeCell ref="IJ596:IL596"/>
    <mergeCell ref="IJ597:IL597"/>
    <mergeCell ref="IJ606:IL606"/>
    <mergeCell ref="IJ607:IL607"/>
    <mergeCell ref="IJ608:IL608"/>
    <mergeCell ref="IJ609:IL609"/>
    <mergeCell ref="IJ602:IL602"/>
    <mergeCell ref="IJ603:IL603"/>
    <mergeCell ref="IJ604:IL604"/>
    <mergeCell ref="IJ605:IL605"/>
    <mergeCell ref="IJ614:IL614"/>
    <mergeCell ref="IJ615:IL615"/>
    <mergeCell ref="IJ616:IL616"/>
    <mergeCell ref="IJ617:IL617"/>
    <mergeCell ref="IJ610:IL610"/>
    <mergeCell ref="IJ611:IL611"/>
    <mergeCell ref="IJ612:IL612"/>
    <mergeCell ref="IJ613:IL613"/>
    <mergeCell ref="IJ622:IL622"/>
    <mergeCell ref="IJ623:IL623"/>
    <mergeCell ref="IJ624:IL624"/>
    <mergeCell ref="IJ625:IL625"/>
    <mergeCell ref="IJ618:IL618"/>
    <mergeCell ref="IJ619:IL619"/>
    <mergeCell ref="IJ620:IL620"/>
    <mergeCell ref="IJ621:IL621"/>
    <mergeCell ref="IJ630:IL630"/>
    <mergeCell ref="IJ631:IL631"/>
    <mergeCell ref="IJ632:IL632"/>
    <mergeCell ref="IJ633:IL633"/>
    <mergeCell ref="IJ626:IL626"/>
    <mergeCell ref="IJ627:IL627"/>
    <mergeCell ref="IJ628:IL628"/>
    <mergeCell ref="IJ629:IL629"/>
    <mergeCell ref="IJ638:IL638"/>
    <mergeCell ref="IJ639:IL639"/>
    <mergeCell ref="IJ640:IL640"/>
    <mergeCell ref="IJ641:IL641"/>
    <mergeCell ref="IJ634:IL634"/>
    <mergeCell ref="IJ635:IL635"/>
    <mergeCell ref="IJ636:IL636"/>
    <mergeCell ref="IJ637:IL637"/>
    <mergeCell ref="IJ646:IL646"/>
    <mergeCell ref="IJ647:IL647"/>
    <mergeCell ref="IJ648:IL648"/>
    <mergeCell ref="IJ649:IL649"/>
    <mergeCell ref="IJ642:IL642"/>
    <mergeCell ref="IJ643:IL643"/>
    <mergeCell ref="IJ644:IL644"/>
    <mergeCell ref="IJ645:IL645"/>
    <mergeCell ref="IJ654:IL654"/>
    <mergeCell ref="IJ655:IL655"/>
    <mergeCell ref="IJ656:IL656"/>
    <mergeCell ref="IJ657:IL657"/>
    <mergeCell ref="IJ650:IL650"/>
    <mergeCell ref="IJ651:IL651"/>
    <mergeCell ref="IJ652:IL652"/>
    <mergeCell ref="IJ653:IL653"/>
    <mergeCell ref="IJ662:IL662"/>
    <mergeCell ref="IJ663:IL663"/>
    <mergeCell ref="IJ664:IL664"/>
    <mergeCell ref="IJ665:IL665"/>
    <mergeCell ref="IJ658:IL658"/>
    <mergeCell ref="IJ659:IL659"/>
    <mergeCell ref="IJ660:IL660"/>
    <mergeCell ref="IJ661:IL661"/>
    <mergeCell ref="IJ670:IL670"/>
    <mergeCell ref="IJ671:IL671"/>
    <mergeCell ref="IJ672:IL672"/>
    <mergeCell ref="IJ673:IL673"/>
    <mergeCell ref="IJ666:IL666"/>
    <mergeCell ref="IJ667:IL667"/>
    <mergeCell ref="IJ668:IL668"/>
    <mergeCell ref="IJ669:IL669"/>
    <mergeCell ref="IJ678:IL678"/>
    <mergeCell ref="IJ679:IL679"/>
    <mergeCell ref="IJ680:IL680"/>
    <mergeCell ref="IJ681:IL681"/>
    <mergeCell ref="IJ674:IL674"/>
    <mergeCell ref="IJ675:IL675"/>
    <mergeCell ref="IJ676:IL676"/>
    <mergeCell ref="IJ677:IL677"/>
    <mergeCell ref="IJ686:IL686"/>
    <mergeCell ref="IJ687:IL687"/>
    <mergeCell ref="IJ688:IL688"/>
    <mergeCell ref="IJ689:IL689"/>
    <mergeCell ref="IJ682:IL682"/>
    <mergeCell ref="IJ683:IL683"/>
    <mergeCell ref="IJ684:IL684"/>
    <mergeCell ref="IJ685:IL685"/>
    <mergeCell ref="IJ694:IL694"/>
    <mergeCell ref="IJ695:IL695"/>
    <mergeCell ref="IJ696:IL696"/>
    <mergeCell ref="IJ697:IL697"/>
    <mergeCell ref="IJ690:IL690"/>
    <mergeCell ref="IJ691:IL691"/>
    <mergeCell ref="IJ692:IL692"/>
    <mergeCell ref="IJ693:IL693"/>
    <mergeCell ref="IJ702:IL702"/>
    <mergeCell ref="IJ703:IL703"/>
    <mergeCell ref="IJ704:IL704"/>
    <mergeCell ref="IJ705:IL705"/>
    <mergeCell ref="IJ698:IL698"/>
    <mergeCell ref="IJ699:IL699"/>
    <mergeCell ref="IJ700:IL700"/>
    <mergeCell ref="IJ701:IL701"/>
    <mergeCell ref="IJ710:IL710"/>
    <mergeCell ref="IJ711:IL711"/>
    <mergeCell ref="IJ712:IL712"/>
    <mergeCell ref="IJ713:IL713"/>
    <mergeCell ref="IJ706:IL706"/>
    <mergeCell ref="IJ707:IL707"/>
    <mergeCell ref="IJ708:IL708"/>
    <mergeCell ref="IJ709:IL709"/>
    <mergeCell ref="IJ720:IL720"/>
    <mergeCell ref="IJ721:IL721"/>
    <mergeCell ref="IJ738:IL738"/>
    <mergeCell ref="IJ739:IL739"/>
    <mergeCell ref="IJ740:IL740"/>
    <mergeCell ref="IJ714:IL714"/>
    <mergeCell ref="IJ715:IL715"/>
    <mergeCell ref="IJ716:IL716"/>
    <mergeCell ref="IJ717:IL717"/>
    <mergeCell ref="IJ726:IL726"/>
    <mergeCell ref="IJ722:IL722"/>
    <mergeCell ref="IJ723:IL723"/>
    <mergeCell ref="IJ724:IL724"/>
    <mergeCell ref="IJ725:IL725"/>
    <mergeCell ref="IJ745:IL745"/>
    <mergeCell ref="IJ727:IL727"/>
    <mergeCell ref="IJ728:IL728"/>
    <mergeCell ref="IJ729:IL729"/>
    <mergeCell ref="AN26:AO26"/>
    <mergeCell ref="AN27:AO27"/>
    <mergeCell ref="AN28:AO28"/>
    <mergeCell ref="AN29:AO29"/>
    <mergeCell ref="AT33:AU33"/>
    <mergeCell ref="AT34:AU34"/>
    <mergeCell ref="AT35:AU35"/>
    <mergeCell ref="AP33:AQ33"/>
    <mergeCell ref="AP34:AQ34"/>
    <mergeCell ref="AP35:AQ35"/>
    <mergeCell ref="AT36:AU36"/>
    <mergeCell ref="AT37:AU37"/>
    <mergeCell ref="AT38:AU38"/>
    <mergeCell ref="AR33:AS33"/>
    <mergeCell ref="AR34:AS34"/>
    <mergeCell ref="AR35:AS35"/>
    <mergeCell ref="IJ734:IL734"/>
    <mergeCell ref="IJ735:IL735"/>
    <mergeCell ref="IJ718:IL718"/>
    <mergeCell ref="IJ719:IL719"/>
    <mergeCell ref="BJ23:BJ25"/>
    <mergeCell ref="BK23:BK25"/>
    <mergeCell ref="BL23:BL25"/>
    <mergeCell ref="BM23:BM25"/>
    <mergeCell ref="IJ755:IL755"/>
    <mergeCell ref="IJ750:IL750"/>
    <mergeCell ref="IJ751:IL751"/>
    <mergeCell ref="IJ752:IL752"/>
    <mergeCell ref="IJ753:IL753"/>
    <mergeCell ref="IJ747:IL747"/>
    <mergeCell ref="IJ748:IL748"/>
    <mergeCell ref="IJ749:IL749"/>
    <mergeCell ref="IJ754:IL754"/>
    <mergeCell ref="IJ736:IL736"/>
    <mergeCell ref="IJ737:IL737"/>
    <mergeCell ref="IJ730:IL730"/>
    <mergeCell ref="IJ731:IL731"/>
    <mergeCell ref="IJ732:IL732"/>
    <mergeCell ref="IJ733:IL733"/>
    <mergeCell ref="IJ746:IL746"/>
    <mergeCell ref="IJ741:IL741"/>
    <mergeCell ref="IJ742:IL742"/>
    <mergeCell ref="IJ743:IL743"/>
    <mergeCell ref="IJ744:IL744"/>
    <mergeCell ref="AL23:AM25"/>
    <mergeCell ref="AL34:AM34"/>
    <mergeCell ref="AL35:AM35"/>
    <mergeCell ref="AL36:AM36"/>
    <mergeCell ref="AJ30:AK30"/>
    <mergeCell ref="AJ31:AK31"/>
    <mergeCell ref="AJ32:AK32"/>
    <mergeCell ref="AJ33:AK33"/>
    <mergeCell ref="AL26:AM26"/>
    <mergeCell ref="AL27:AM27"/>
    <mergeCell ref="AL28:AM28"/>
    <mergeCell ref="AL29:AM29"/>
    <mergeCell ref="AL30:AM30"/>
    <mergeCell ref="AL31:AM31"/>
    <mergeCell ref="AL32:AM32"/>
    <mergeCell ref="AL33:AM33"/>
    <mergeCell ref="AP22:AQ22"/>
    <mergeCell ref="AP23:AQ25"/>
    <mergeCell ref="AL38:AM38"/>
    <mergeCell ref="AN22:AO22"/>
    <mergeCell ref="AN23:AO25"/>
    <mergeCell ref="AP26:AQ26"/>
    <mergeCell ref="AP28:AQ28"/>
    <mergeCell ref="AP29:AQ29"/>
    <mergeCell ref="AP30:AQ30"/>
    <mergeCell ref="AP31:AQ31"/>
    <mergeCell ref="AP32:AQ32"/>
    <mergeCell ref="AN30:AO30"/>
    <mergeCell ref="AN31:AO31"/>
    <mergeCell ref="AN32:AO32"/>
    <mergeCell ref="AN33:AO33"/>
    <mergeCell ref="AN34:AO34"/>
    <mergeCell ref="AP36:AQ36"/>
    <mergeCell ref="AL37:AM37"/>
    <mergeCell ref="AP37:AQ37"/>
    <mergeCell ref="AP38:AQ38"/>
    <mergeCell ref="AN35:AO35"/>
    <mergeCell ref="AN36:AO36"/>
    <mergeCell ref="AN37:AO37"/>
    <mergeCell ref="AN38:AO38"/>
    <mergeCell ref="AR36:AS36"/>
    <mergeCell ref="AR37:AS37"/>
    <mergeCell ref="AR38:AS38"/>
    <mergeCell ref="AT22:AU22"/>
    <mergeCell ref="AT23:AU25"/>
    <mergeCell ref="AT26:AU26"/>
    <mergeCell ref="AT27:AU27"/>
    <mergeCell ref="AT28:AU28"/>
    <mergeCell ref="AT29:AU29"/>
    <mergeCell ref="AT30:AU30"/>
    <mergeCell ref="AT31:AU31"/>
    <mergeCell ref="AT32:AU32"/>
    <mergeCell ref="AR22:AS22"/>
    <mergeCell ref="AR23:AS25"/>
    <mergeCell ref="AR26:AS26"/>
    <mergeCell ref="AR27:AS27"/>
    <mergeCell ref="AR28:AS28"/>
    <mergeCell ref="AR29:AS29"/>
    <mergeCell ref="AR30:AS30"/>
    <mergeCell ref="AR31:AS31"/>
    <mergeCell ref="AR32:AS32"/>
  </mergeCells>
  <phoneticPr fontId="0" type="noConversion"/>
  <conditionalFormatting sqref="D26:D37 F26:F37 H26:H37 J26:J37 L26:L37 N26:N37 P26:P37 R26:R37 T26:T37 V26:V37 X26:X37 Z26:Z37 AB26:AB37 AD26:AD37 AF26:AF37 AH26:AH37">
    <cfRule type="expression" dxfId="44" priority="29" stopIfTrue="1">
      <formula>OR(WEEKDAY(D$23&amp;"/"&amp;$C9&amp;"/"&amp;Anno)=1,CONCATENATE(D$23,"/",$C9)="1/Gennaio",CONCATENATE(D$23,"/",$C9)="6/Gennaio")</formula>
    </cfRule>
    <cfRule type="expression" dxfId="43" priority="30" stopIfTrue="1">
      <formula>WEEKDAY(D$23&amp;"/"&amp;$C9&amp;"/"&amp;Anno)=7</formula>
    </cfRule>
  </conditionalFormatting>
  <conditionalFormatting sqref="D9:AH9 D10:AE10 D11:AH11 D12:AG12 D13:AH13 D14:AG14 D15:AH16 D17:AG17 D18:AH18 D19:AG19 D20:AH21">
    <cfRule type="expression" dxfId="42" priority="24" stopIfTrue="1">
      <formula>WEEKDAY(D$8&amp;"/"&amp;$C9&amp;"/"&amp;Anno)=7</formula>
    </cfRule>
  </conditionalFormatting>
  <conditionalFormatting sqref="D9:AH9 D10:AE10 D11:AH11 D12:AG12 D13:AH13 D14:AG14 D15:AH16 D17:AG17 D18:AH20">
    <cfRule type="expression" dxfId="41" priority="25" stopIfTrue="1">
      <formula>WEEKDAY(D$8&amp;"/"&amp;$B9&amp;"/"&amp;Anno,1)=1</formula>
    </cfRule>
  </conditionalFormatting>
  <conditionalFormatting sqref="D9:AH9 D10:AF10 D11:AH11 D12:AG12 D13:AH13 D14:AG14 D15:AH16 D17:AG17 D18:AH18 D19:AG19 D20:AH20">
    <cfRule type="expression" dxfId="40" priority="23" stopIfTrue="1">
      <formula>MATCH(DATE(Anno,$B9,D$8),Festivita,0)&gt;0</formula>
    </cfRule>
  </conditionalFormatting>
  <conditionalFormatting sqref="D9:AH20">
    <cfRule type="containsText" dxfId="39" priority="18" stopIfTrue="1" operator="containsText" text="PM">
      <formula>NOT(ISERROR(SEARCH("PM",D9)))</formula>
    </cfRule>
    <cfRule type="containsText" dxfId="38" priority="19" stopIfTrue="1" operator="containsText" text="FS">
      <formula>NOT(ISERROR(SEARCH("FS",D9)))</formula>
    </cfRule>
    <cfRule type="containsText" dxfId="37" priority="20" stopIfTrue="1" operator="containsText" text="IL">
      <formula>NOT(ISERROR(SEARCH("IL",D9)))</formula>
    </cfRule>
  </conditionalFormatting>
  <conditionalFormatting sqref="AF10 AF16">
    <cfRule type="expression" dxfId="36" priority="27" stopIfTrue="1">
      <formula>OR(MATCH(DATE(Anno,$B10,AF$8),Festivita,0)&gt;0,WEEKDAY(DATE(Anno,$B10,AF$8))=1)</formula>
    </cfRule>
    <cfRule type="expression" dxfId="35" priority="28" stopIfTrue="1">
      <formula>WEEKDAY(AF$8&amp;"/"&amp;$C10&amp;"/"&amp;Anno)=7</formula>
    </cfRule>
  </conditionalFormatting>
  <conditionalFormatting sqref="AF10">
    <cfRule type="expression" dxfId="34" priority="26" stopIfTrue="1">
      <formula>MOD(Anno,4)&lt;&gt;0</formula>
    </cfRule>
  </conditionalFormatting>
  <conditionalFormatting sqref="AH12">
    <cfRule type="expression" dxfId="33" priority="21" stopIfTrue="1">
      <formula>WEEKDAY(AH$8&amp;"/"&amp;$C12&amp;"/"&amp;Anno)=7</formula>
    </cfRule>
    <cfRule type="expression" dxfId="32" priority="22" stopIfTrue="1">
      <formula>OR(WEEKDAY(AH$8&amp;"/"&amp;$C12&amp;"/"&amp;Anno)=1,CONCATENATE(AH$8,"/",$C12)="25/Aprile")</formula>
    </cfRule>
  </conditionalFormatting>
  <conditionalFormatting sqref="AJ26:AJ37">
    <cfRule type="expression" dxfId="31" priority="11" stopIfTrue="1">
      <formula>OR(WEEKDAY(AJ$23&amp;"/"&amp;$C9&amp;"/"&amp;Anno)=1,CONCATENATE(AJ$23,"/",$C9)="1/Gennaio",CONCATENATE(AJ$23,"/",$C9)="6/Gennaio")</formula>
    </cfRule>
    <cfRule type="expression" dxfId="30" priority="12" stopIfTrue="1">
      <formula>WEEKDAY(AJ$23&amp;"/"&amp;$C9&amp;"/"&amp;Anno)=7</formula>
    </cfRule>
  </conditionalFormatting>
  <conditionalFormatting sqref="AL26:AL37">
    <cfRule type="expression" dxfId="29" priority="9" stopIfTrue="1">
      <formula>OR(WEEKDAY(AL$23&amp;"/"&amp;$C9&amp;"/"&amp;Anno)=1,CONCATENATE(AL$23,"/",$C9)="1/Gennaio",CONCATENATE(AL$23,"/",$C9)="6/Gennaio")</formula>
    </cfRule>
    <cfRule type="expression" dxfId="28" priority="10" stopIfTrue="1">
      <formula>WEEKDAY(AL$23&amp;"/"&amp;$C9&amp;"/"&amp;Anno)=7</formula>
    </cfRule>
  </conditionalFormatting>
  <conditionalFormatting sqref="AN26:AN37">
    <cfRule type="expression" dxfId="27" priority="7" stopIfTrue="1">
      <formula>OR(WEEKDAY(AN$23&amp;"/"&amp;$C9&amp;"/"&amp;Anno)=1,CONCATENATE(AN$23,"/",$C9)="1/Gennaio",CONCATENATE(AN$23,"/",$C9)="6/Gennaio")</formula>
    </cfRule>
    <cfRule type="expression" dxfId="26" priority="8" stopIfTrue="1">
      <formula>WEEKDAY(AN$23&amp;"/"&amp;$C9&amp;"/"&amp;Anno)=7</formula>
    </cfRule>
  </conditionalFormatting>
  <conditionalFormatting sqref="AP26:AP37">
    <cfRule type="expression" dxfId="25" priority="5" stopIfTrue="1">
      <formula>OR(WEEKDAY(AP$23&amp;"/"&amp;$C9&amp;"/"&amp;Anno)=1,CONCATENATE(AP$23,"/",$C9)="1/Gennaio",CONCATENATE(AP$23,"/",$C9)="6/Gennaio")</formula>
    </cfRule>
    <cfRule type="expression" dxfId="24" priority="6" stopIfTrue="1">
      <formula>WEEKDAY(AP$23&amp;"/"&amp;$C9&amp;"/"&amp;Anno)=7</formula>
    </cfRule>
  </conditionalFormatting>
  <conditionalFormatting sqref="AR26:AR37">
    <cfRule type="expression" dxfId="23" priority="3" stopIfTrue="1">
      <formula>OR(WEEKDAY(AR$23&amp;"/"&amp;$C9&amp;"/"&amp;Anno)=1,CONCATENATE(AR$23,"/",$C9)="1/Gennaio",CONCATENATE(AR$23,"/",$C9)="6/Gennaio")</formula>
    </cfRule>
    <cfRule type="expression" dxfId="22" priority="4" stopIfTrue="1">
      <formula>WEEKDAY(AR$23&amp;"/"&amp;$C9&amp;"/"&amp;Anno)=7</formula>
    </cfRule>
  </conditionalFormatting>
  <conditionalFormatting sqref="AT26:AT37">
    <cfRule type="expression" dxfId="21" priority="1" stopIfTrue="1">
      <formula>OR(WEEKDAY(AT$23&amp;"/"&amp;$C9&amp;"/"&amp;Anno)=1,CONCATENATE(AT$23,"/",$C9)="1/Gennaio",CONCATENATE(AT$23,"/",$C9)="6/Gennaio")</formula>
    </cfRule>
    <cfRule type="expression" dxfId="20" priority="2" stopIfTrue="1">
      <formula>WEEKDAY(AT$23&amp;"/"&amp;$C9&amp;"/"&amp;Anno)=7</formula>
    </cfRule>
  </conditionalFormatting>
  <conditionalFormatting sqref="IJ384:IL755">
    <cfRule type="expression" dxfId="19" priority="41" stopIfTrue="1">
      <formula>WEEKDAY(IJ384,2)=7</formula>
    </cfRule>
    <cfRule type="expression" dxfId="18" priority="42" stopIfTrue="1">
      <formula>WEEKDAY(IJ384,2)=6</formula>
    </cfRule>
  </conditionalFormatting>
  <dataValidations count="2">
    <dataValidation allowBlank="1" showDropDown="1" showInputMessage="1" showErrorMessage="1" errorTitle="Errore nell'inserimento dei dati" error="Hai inserito un valore non consentito!_x000a_I valori che puoi immettere nelle celle sono i seguenti:_x000a_Fp = Ferie anno precedente_x000a_Fc = Ferie anno corrente_x000a_R = Recupero_x000a_M = Malattia" sqref="AT26:AT37 F26:F37 AJ26:AJ37 AB26:AB37 Z26:Z37 AD26:AD37 D26:D37 V26:V37 T26:T37 R26:R37 P26:P37 N26:N37 L26:L37 J26:J37 H26:H37 AR26:AR37 AF26:AF37 AH26:AH37 AL26:AL37 AN26:AN37 AP26:AP37 X26:X37" xr:uid="{00000000-0002-0000-0200-000000000000}"/>
    <dataValidation type="list" allowBlank="1" showDropDown="1" showInputMessage="1" showErrorMessage="1" errorTitle="Errore inserimento sigla" error="Hai inserito una sigla non presente nelle tipologie." sqref="D9:AH20" xr:uid="{00000000-0002-0000-0200-000001000000}">
      <formula1>$D$22:$AI$22</formula1>
    </dataValidation>
  </dataValidations>
  <printOptions horizontalCentered="1"/>
  <pageMargins left="0.25" right="0.25" top="0.75" bottom="0.75" header="0.3" footer="0.3"/>
  <pageSetup paperSize="9" scale="58" orientation="landscape" r:id="rId1"/>
  <headerFooter alignWithMargins="0"/>
  <ignoredErrors>
    <ignoredError sqref="D9:AH16 D18:AH20 D17:AG17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4"/>
  <dimension ref="A1:AK212"/>
  <sheetViews>
    <sheetView topLeftCell="C1" zoomScaleNormal="100" zoomScalePageLayoutView="55" workbookViewId="0">
      <selection activeCell="E5" sqref="E5"/>
    </sheetView>
  </sheetViews>
  <sheetFormatPr defaultColWidth="0" defaultRowHeight="12.75" zeroHeight="1" x14ac:dyDescent="0.2"/>
  <cols>
    <col min="1" max="1" width="2" hidden="1" customWidth="1"/>
    <col min="2" max="2" width="3" hidden="1" customWidth="1"/>
    <col min="3" max="3" width="6.42578125" style="1" customWidth="1"/>
    <col min="4" max="4" width="6.42578125" customWidth="1"/>
    <col min="5" max="5" width="10" bestFit="1" customWidth="1"/>
    <col min="6" max="6" width="10.28515625" customWidth="1"/>
    <col min="7" max="8" width="8.28515625" style="45" customWidth="1"/>
    <col min="9" max="12" width="8.28515625" style="82" customWidth="1"/>
    <col min="13" max="13" width="50.42578125" customWidth="1"/>
    <col min="14" max="14" width="40.7109375" customWidth="1"/>
    <col min="15" max="15" width="3.28515625" style="541" customWidth="1"/>
    <col min="16" max="17" width="6.42578125" customWidth="1"/>
    <col min="18" max="18" width="10" bestFit="1" customWidth="1"/>
    <col min="19" max="19" width="10.28515625" customWidth="1"/>
    <col min="20" max="21" width="8.28515625" style="45" customWidth="1"/>
    <col min="22" max="25" width="8.28515625" style="82" customWidth="1"/>
    <col min="26" max="26" width="50.42578125" customWidth="1"/>
    <col min="27" max="27" width="40.7109375" customWidth="1"/>
    <col min="28" max="28" width="3.28515625" style="554" customWidth="1"/>
    <col min="29" max="29" width="10" bestFit="1" customWidth="1"/>
    <col min="30" max="30" width="11.42578125" customWidth="1"/>
    <col min="31" max="31" width="10" bestFit="1" customWidth="1"/>
    <col min="32" max="32" width="27" customWidth="1"/>
    <col min="33" max="34" width="8.85546875" hidden="1" customWidth="1"/>
    <col min="35" max="35" width="13.42578125" hidden="1" customWidth="1"/>
    <col min="36" max="36" width="8.85546875" hidden="1" customWidth="1"/>
    <col min="37" max="37" width="0" hidden="1" customWidth="1"/>
    <col min="38" max="16384" width="8.85546875" hidden="1"/>
  </cols>
  <sheetData>
    <row r="1" spans="1:32" ht="25.35" customHeight="1" thickBot="1" x14ac:dyDescent="0.25">
      <c r="C1" s="238" t="s">
        <v>3</v>
      </c>
      <c r="D1" s="239"/>
      <c r="E1" s="239"/>
      <c r="F1" s="239"/>
      <c r="G1" s="239"/>
      <c r="H1" s="239"/>
      <c r="I1" s="239"/>
      <c r="J1" s="239"/>
      <c r="K1" s="239"/>
      <c r="L1" s="239"/>
      <c r="M1" s="237"/>
      <c r="N1" s="237"/>
      <c r="O1" s="532"/>
      <c r="P1" s="260" t="s">
        <v>9</v>
      </c>
      <c r="Q1" s="261"/>
      <c r="R1" s="261"/>
      <c r="S1" s="261"/>
      <c r="T1" s="261"/>
      <c r="U1" s="261"/>
      <c r="V1" s="261"/>
      <c r="W1" s="261"/>
      <c r="X1" s="261"/>
      <c r="Y1" s="261"/>
      <c r="Z1" s="259"/>
      <c r="AA1" s="259"/>
      <c r="AB1" s="542"/>
    </row>
    <row r="2" spans="1:32" ht="13.35" customHeight="1" thickBot="1" x14ac:dyDescent="0.25">
      <c r="C2" s="499" t="s">
        <v>112</v>
      </c>
      <c r="D2" s="503" t="s">
        <v>100</v>
      </c>
      <c r="E2" s="503" t="s">
        <v>104</v>
      </c>
      <c r="F2" s="520" t="s">
        <v>101</v>
      </c>
      <c r="G2" s="231" t="s">
        <v>129</v>
      </c>
      <c r="H2" s="232"/>
      <c r="I2" s="494" t="s">
        <v>130</v>
      </c>
      <c r="J2" s="494" t="s">
        <v>131</v>
      </c>
      <c r="K2" s="494" t="s">
        <v>152</v>
      </c>
      <c r="L2" s="513" t="s">
        <v>132</v>
      </c>
      <c r="M2" s="497" t="s">
        <v>129</v>
      </c>
      <c r="N2" s="497" t="s">
        <v>144</v>
      </c>
      <c r="O2" s="533" t="s">
        <v>128</v>
      </c>
      <c r="P2" s="499" t="s">
        <v>112</v>
      </c>
      <c r="Q2" s="526" t="s">
        <v>100</v>
      </c>
      <c r="R2" s="503" t="s">
        <v>104</v>
      </c>
      <c r="S2" s="491" t="s">
        <v>101</v>
      </c>
      <c r="T2" s="244" t="s">
        <v>129</v>
      </c>
      <c r="U2" s="241"/>
      <c r="V2" s="494" t="s">
        <v>130</v>
      </c>
      <c r="W2" s="513" t="s">
        <v>131</v>
      </c>
      <c r="X2" s="494" t="s">
        <v>152</v>
      </c>
      <c r="Y2" s="513" t="s">
        <v>132</v>
      </c>
      <c r="Z2" s="497" t="s">
        <v>129</v>
      </c>
      <c r="AA2" s="497" t="s">
        <v>144</v>
      </c>
      <c r="AB2" s="533" t="s">
        <v>128</v>
      </c>
      <c r="AD2" s="45"/>
    </row>
    <row r="3" spans="1:32" ht="13.35" customHeight="1" thickBot="1" x14ac:dyDescent="0.25">
      <c r="C3" s="515"/>
      <c r="D3" s="516"/>
      <c r="E3" s="516"/>
      <c r="F3" s="521"/>
      <c r="G3" s="48" t="s">
        <v>102</v>
      </c>
      <c r="H3" s="48" t="s">
        <v>103</v>
      </c>
      <c r="I3" s="496"/>
      <c r="J3" s="496"/>
      <c r="K3" s="496"/>
      <c r="L3" s="514"/>
      <c r="M3" s="519"/>
      <c r="N3" s="519"/>
      <c r="O3" s="534"/>
      <c r="P3" s="500"/>
      <c r="Q3" s="527"/>
      <c r="R3" s="504"/>
      <c r="S3" s="492"/>
      <c r="T3" s="47" t="s">
        <v>102</v>
      </c>
      <c r="U3" s="89" t="s">
        <v>103</v>
      </c>
      <c r="V3" s="496"/>
      <c r="W3" s="514"/>
      <c r="X3" s="496"/>
      <c r="Y3" s="514"/>
      <c r="Z3" s="498"/>
      <c r="AA3" s="498"/>
      <c r="AB3" s="534"/>
      <c r="AD3" s="45"/>
    </row>
    <row r="4" spans="1:32" ht="13.35" customHeight="1" x14ac:dyDescent="0.2">
      <c r="A4">
        <v>1</v>
      </c>
      <c r="B4">
        <v>1</v>
      </c>
      <c r="C4" s="53">
        <f>DATE(Anno,1,1)</f>
        <v>45658</v>
      </c>
      <c r="D4" s="54">
        <f>C4</f>
        <v>45658</v>
      </c>
      <c r="E4" s="115"/>
      <c r="F4" s="116"/>
      <c r="G4" s="117"/>
      <c r="H4" s="117"/>
      <c r="I4" s="80">
        <f>IF(C4="","",IF(OR(G4="",H4=""),,IF(H4&lt;G4,MOD(H4-G4,1),H4-G4)))</f>
        <v>0</v>
      </c>
      <c r="J4" s="221"/>
      <c r="K4" s="72"/>
      <c r="L4" s="127"/>
      <c r="M4" s="128"/>
      <c r="N4" s="195"/>
      <c r="O4" s="535" t="str">
        <f t="shared" ref="O4:O34" si="0">IF(E4="d","1","")&amp;IF(E4="P","1","")&amp;IF(E4="FL","1","")&amp;IF(E4="IL","1","")&amp;IF(E4="V","1","")</f>
        <v/>
      </c>
      <c r="P4" s="58">
        <f>DATE(Anno,7,1)</f>
        <v>45839</v>
      </c>
      <c r="Q4" s="40">
        <f>P4</f>
        <v>45839</v>
      </c>
      <c r="R4" s="150"/>
      <c r="S4" s="179"/>
      <c r="T4" s="138"/>
      <c r="U4" s="138"/>
      <c r="V4" s="80">
        <f t="shared" ref="V4:V34" si="1">IF(P4="","",IF(OR(T4="",U4=""),,IF(U4&lt;T4,MOD(U4-T4,1),U4-T4)))</f>
        <v>0</v>
      </c>
      <c r="W4" s="80"/>
      <c r="X4" s="80"/>
      <c r="Y4" s="176"/>
      <c r="Z4" s="159"/>
      <c r="AA4" s="186"/>
      <c r="AB4" s="543" t="str">
        <f>IF(R4="d","1","")&amp;IF(R4="P","1","")&amp;IF(R4="FL","1","")&amp;IF(R4="IL","1","")&amp;IF(R4="V","1","")</f>
        <v/>
      </c>
    </row>
    <row r="5" spans="1:32" ht="13.35" customHeight="1" x14ac:dyDescent="0.2">
      <c r="A5">
        <v>1</v>
      </c>
      <c r="B5">
        <v>2</v>
      </c>
      <c r="C5" s="55">
        <f>DATE(Anno,1,2)</f>
        <v>45659</v>
      </c>
      <c r="D5" s="51">
        <f t="shared" ref="D5:D34" si="2">C5</f>
        <v>45659</v>
      </c>
      <c r="E5" s="118"/>
      <c r="F5" s="119"/>
      <c r="G5" s="120"/>
      <c r="H5" s="120"/>
      <c r="I5" s="71">
        <f t="shared" ref="I5:I34" si="3">IF(C5="","",IF(OR(G5="",H5=""),,IF(H5&lt;G5,MOD(H5-G5,1),H5-G5)))</f>
        <v>0</v>
      </c>
      <c r="J5" s="222"/>
      <c r="K5" s="71"/>
      <c r="L5" s="129"/>
      <c r="M5" s="134"/>
      <c r="N5" s="196"/>
      <c r="O5" s="536" t="str">
        <f t="shared" si="0"/>
        <v/>
      </c>
      <c r="P5" s="55">
        <f>DATE(Anno,7,2)</f>
        <v>45840</v>
      </c>
      <c r="Q5" s="51">
        <f t="shared" ref="Q5:Q34" si="4">P5</f>
        <v>45840</v>
      </c>
      <c r="R5" s="118"/>
      <c r="S5" s="123"/>
      <c r="T5" s="120"/>
      <c r="U5" s="120"/>
      <c r="V5" s="71">
        <f t="shared" si="1"/>
        <v>0</v>
      </c>
      <c r="W5" s="71"/>
      <c r="X5" s="71"/>
      <c r="Y5" s="129"/>
      <c r="Z5" s="134"/>
      <c r="AA5" s="186"/>
      <c r="AB5" s="544" t="str">
        <f t="shared" ref="AB5:AB34" si="5">IF(R5="d","1","")&amp;IF(R5="P","1","")&amp;IF(R5="FL","1","")&amp;IF(R5="IL","1","")&amp;IF(R5="V","1","")</f>
        <v/>
      </c>
    </row>
    <row r="6" spans="1:32" ht="13.35" customHeight="1" x14ac:dyDescent="0.2">
      <c r="A6">
        <v>1</v>
      </c>
      <c r="B6">
        <v>3</v>
      </c>
      <c r="C6" s="55">
        <f>DATE(Anno,1,3)</f>
        <v>45660</v>
      </c>
      <c r="D6" s="51">
        <f t="shared" si="2"/>
        <v>45660</v>
      </c>
      <c r="E6" s="118"/>
      <c r="F6" s="119"/>
      <c r="G6" s="120"/>
      <c r="H6" s="120"/>
      <c r="I6" s="71">
        <f t="shared" si="3"/>
        <v>0</v>
      </c>
      <c r="J6" s="222"/>
      <c r="K6" s="71"/>
      <c r="L6" s="129"/>
      <c r="M6" s="134"/>
      <c r="N6" s="196"/>
      <c r="O6" s="536" t="str">
        <f t="shared" si="0"/>
        <v/>
      </c>
      <c r="P6" s="55">
        <f>DATE(Anno,7,3)</f>
        <v>45841</v>
      </c>
      <c r="Q6" s="51">
        <f t="shared" si="4"/>
        <v>45841</v>
      </c>
      <c r="R6" s="118"/>
      <c r="S6" s="123"/>
      <c r="T6" s="120"/>
      <c r="U6" s="120"/>
      <c r="V6" s="71">
        <f t="shared" si="1"/>
        <v>0</v>
      </c>
      <c r="W6" s="71"/>
      <c r="X6" s="71"/>
      <c r="Y6" s="129"/>
      <c r="Z6" s="134"/>
      <c r="AA6" s="186"/>
      <c r="AB6" s="544" t="str">
        <f t="shared" si="5"/>
        <v/>
      </c>
    </row>
    <row r="7" spans="1:32" ht="13.35" customHeight="1" x14ac:dyDescent="0.2">
      <c r="A7">
        <v>1</v>
      </c>
      <c r="B7">
        <v>4</v>
      </c>
      <c r="C7" s="55">
        <f>DATE(Anno,1,4)</f>
        <v>45661</v>
      </c>
      <c r="D7" s="51">
        <f t="shared" si="2"/>
        <v>45661</v>
      </c>
      <c r="E7" s="118"/>
      <c r="F7" s="121"/>
      <c r="G7" s="120"/>
      <c r="H7" s="120"/>
      <c r="I7" s="71">
        <f t="shared" si="3"/>
        <v>0</v>
      </c>
      <c r="J7" s="223"/>
      <c r="K7" s="70"/>
      <c r="L7" s="131"/>
      <c r="M7" s="132"/>
      <c r="N7" s="196"/>
      <c r="O7" s="536" t="str">
        <f t="shared" si="0"/>
        <v/>
      </c>
      <c r="P7" s="55">
        <f>DATE(Anno,7,4)</f>
        <v>45842</v>
      </c>
      <c r="Q7" s="51">
        <f t="shared" si="4"/>
        <v>45842</v>
      </c>
      <c r="R7" s="118"/>
      <c r="S7" s="123"/>
      <c r="T7" s="120"/>
      <c r="U7" s="120"/>
      <c r="V7" s="71">
        <f t="shared" si="1"/>
        <v>0</v>
      </c>
      <c r="W7" s="71"/>
      <c r="X7" s="71"/>
      <c r="Y7" s="129"/>
      <c r="Z7" s="134"/>
      <c r="AA7" s="186"/>
      <c r="AB7" s="544" t="str">
        <f t="shared" si="5"/>
        <v/>
      </c>
      <c r="AD7" s="36"/>
    </row>
    <row r="8" spans="1:32" ht="13.35" customHeight="1" x14ac:dyDescent="0.2">
      <c r="A8">
        <v>1</v>
      </c>
      <c r="B8">
        <v>5</v>
      </c>
      <c r="C8" s="55">
        <f>DATE(Anno,1,5)</f>
        <v>45662</v>
      </c>
      <c r="D8" s="51">
        <f t="shared" si="2"/>
        <v>45662</v>
      </c>
      <c r="E8" s="118"/>
      <c r="F8" s="121"/>
      <c r="G8" s="120"/>
      <c r="H8" s="120"/>
      <c r="I8" s="71">
        <f t="shared" si="3"/>
        <v>0</v>
      </c>
      <c r="J8" s="223"/>
      <c r="K8" s="70"/>
      <c r="L8" s="131"/>
      <c r="M8" s="132"/>
      <c r="N8" s="196"/>
      <c r="O8" s="536" t="str">
        <f t="shared" si="0"/>
        <v/>
      </c>
      <c r="P8" s="55">
        <f>DATE(Anno,7,5)</f>
        <v>45843</v>
      </c>
      <c r="Q8" s="51">
        <f t="shared" si="4"/>
        <v>45843</v>
      </c>
      <c r="R8" s="118"/>
      <c r="S8" s="123"/>
      <c r="T8" s="120"/>
      <c r="U8" s="120"/>
      <c r="V8" s="71">
        <f t="shared" si="1"/>
        <v>0</v>
      </c>
      <c r="W8" s="71"/>
      <c r="X8" s="71"/>
      <c r="Y8" s="177"/>
      <c r="Z8" s="134"/>
      <c r="AA8" s="186"/>
      <c r="AB8" s="544" t="str">
        <f t="shared" si="5"/>
        <v/>
      </c>
    </row>
    <row r="9" spans="1:32" ht="13.35" customHeight="1" x14ac:dyDescent="0.2">
      <c r="A9">
        <v>1</v>
      </c>
      <c r="B9">
        <v>6</v>
      </c>
      <c r="C9" s="55">
        <f>DATE(Anno,1,6)</f>
        <v>45663</v>
      </c>
      <c r="D9" s="51">
        <f t="shared" si="2"/>
        <v>45663</v>
      </c>
      <c r="E9" s="118"/>
      <c r="F9" s="121"/>
      <c r="G9" s="120"/>
      <c r="H9" s="120"/>
      <c r="I9" s="71">
        <f t="shared" si="3"/>
        <v>0</v>
      </c>
      <c r="J9" s="223"/>
      <c r="K9" s="70"/>
      <c r="L9" s="131"/>
      <c r="M9" s="132"/>
      <c r="N9" s="196"/>
      <c r="O9" s="536" t="str">
        <f t="shared" si="0"/>
        <v/>
      </c>
      <c r="P9" s="55">
        <f>DATE(Anno,7,6)</f>
        <v>45844</v>
      </c>
      <c r="Q9" s="51">
        <f t="shared" si="4"/>
        <v>45844</v>
      </c>
      <c r="R9" s="118"/>
      <c r="S9" s="123"/>
      <c r="T9" s="120"/>
      <c r="U9" s="120"/>
      <c r="V9" s="71">
        <f t="shared" si="1"/>
        <v>0</v>
      </c>
      <c r="W9" s="71"/>
      <c r="X9" s="71"/>
      <c r="Y9" s="129"/>
      <c r="Z9" s="134"/>
      <c r="AA9" s="186"/>
      <c r="AB9" s="544" t="str">
        <f t="shared" si="5"/>
        <v/>
      </c>
    </row>
    <row r="10" spans="1:32" ht="13.35" customHeight="1" x14ac:dyDescent="0.2">
      <c r="A10">
        <v>1</v>
      </c>
      <c r="B10">
        <v>7</v>
      </c>
      <c r="C10" s="55">
        <f>DATE(Anno,1,7)</f>
        <v>45664</v>
      </c>
      <c r="D10" s="51">
        <f t="shared" si="2"/>
        <v>45664</v>
      </c>
      <c r="E10" s="118"/>
      <c r="F10" s="121"/>
      <c r="G10" s="120"/>
      <c r="H10" s="120"/>
      <c r="I10" s="71">
        <f t="shared" si="3"/>
        <v>0</v>
      </c>
      <c r="J10" s="223"/>
      <c r="K10" s="70"/>
      <c r="L10" s="131"/>
      <c r="M10" s="132"/>
      <c r="N10" s="196"/>
      <c r="O10" s="536" t="str">
        <f t="shared" si="0"/>
        <v/>
      </c>
      <c r="P10" s="55">
        <f>DATE(Anno,7,7)</f>
        <v>45845</v>
      </c>
      <c r="Q10" s="51">
        <f t="shared" si="4"/>
        <v>45845</v>
      </c>
      <c r="R10" s="118"/>
      <c r="S10" s="123"/>
      <c r="T10" s="120"/>
      <c r="U10" s="120"/>
      <c r="V10" s="71">
        <f t="shared" si="1"/>
        <v>0</v>
      </c>
      <c r="W10" s="70"/>
      <c r="X10" s="70"/>
      <c r="Y10" s="129"/>
      <c r="Z10" s="134"/>
      <c r="AA10" s="186"/>
      <c r="AB10" s="544" t="str">
        <f t="shared" si="5"/>
        <v/>
      </c>
      <c r="AD10" s="505" t="s">
        <v>105</v>
      </c>
      <c r="AE10" s="506"/>
      <c r="AF10" s="507"/>
    </row>
    <row r="11" spans="1:32" ht="13.35" customHeight="1" x14ac:dyDescent="0.2">
      <c r="A11">
        <v>1</v>
      </c>
      <c r="B11">
        <v>8</v>
      </c>
      <c r="C11" s="55">
        <f>DATE(Anno,1,8)</f>
        <v>45665</v>
      </c>
      <c r="D11" s="51">
        <f t="shared" si="2"/>
        <v>45665</v>
      </c>
      <c r="E11" s="118"/>
      <c r="F11" s="121"/>
      <c r="G11" s="120"/>
      <c r="H11" s="120"/>
      <c r="I11" s="71">
        <f t="shared" si="3"/>
        <v>0</v>
      </c>
      <c r="J11" s="223"/>
      <c r="K11" s="70"/>
      <c r="L11" s="131"/>
      <c r="M11" s="134"/>
      <c r="N11" s="196"/>
      <c r="O11" s="536" t="str">
        <f t="shared" si="0"/>
        <v/>
      </c>
      <c r="P11" s="55">
        <f>DATE(Anno,7,8)</f>
        <v>45846</v>
      </c>
      <c r="Q11" s="51">
        <f t="shared" si="4"/>
        <v>45846</v>
      </c>
      <c r="R11" s="118"/>
      <c r="S11" s="123"/>
      <c r="T11" s="120"/>
      <c r="U11" s="120"/>
      <c r="V11" s="71">
        <f t="shared" si="1"/>
        <v>0</v>
      </c>
      <c r="W11" s="71"/>
      <c r="X11" s="71"/>
      <c r="Y11" s="129"/>
      <c r="Z11" s="134"/>
      <c r="AA11" s="186"/>
      <c r="AB11" s="544" t="str">
        <f t="shared" si="5"/>
        <v/>
      </c>
      <c r="AD11" s="508"/>
      <c r="AE11" s="509"/>
      <c r="AF11" s="510"/>
    </row>
    <row r="12" spans="1:32" ht="13.35" customHeight="1" x14ac:dyDescent="0.2">
      <c r="A12">
        <v>1</v>
      </c>
      <c r="B12">
        <v>9</v>
      </c>
      <c r="C12" s="55">
        <f>DATE(Anno,1,9)</f>
        <v>45666</v>
      </c>
      <c r="D12" s="51">
        <f t="shared" si="2"/>
        <v>45666</v>
      </c>
      <c r="E12" s="118"/>
      <c r="F12" s="121"/>
      <c r="G12" s="120"/>
      <c r="H12" s="120"/>
      <c r="I12" s="71">
        <f t="shared" si="3"/>
        <v>0</v>
      </c>
      <c r="J12" s="223"/>
      <c r="K12" s="70"/>
      <c r="L12" s="131"/>
      <c r="M12" s="132"/>
      <c r="N12" s="196"/>
      <c r="O12" s="536" t="str">
        <f t="shared" si="0"/>
        <v/>
      </c>
      <c r="P12" s="55">
        <f>DATE(Anno,7,9)</f>
        <v>45847</v>
      </c>
      <c r="Q12" s="51">
        <f t="shared" si="4"/>
        <v>45847</v>
      </c>
      <c r="R12" s="118"/>
      <c r="S12" s="123"/>
      <c r="T12" s="120"/>
      <c r="U12" s="120"/>
      <c r="V12" s="71">
        <f t="shared" si="1"/>
        <v>0</v>
      </c>
      <c r="W12" s="71"/>
      <c r="X12" s="71"/>
      <c r="Y12" s="129"/>
      <c r="Z12" s="134"/>
      <c r="AA12" s="186"/>
      <c r="AB12" s="544" t="str">
        <f t="shared" si="5"/>
        <v/>
      </c>
      <c r="AD12" s="39" t="s">
        <v>23</v>
      </c>
      <c r="AE12" s="511" t="s">
        <v>106</v>
      </c>
      <c r="AF12" s="512"/>
    </row>
    <row r="13" spans="1:32" ht="13.35" customHeight="1" x14ac:dyDescent="0.2">
      <c r="A13">
        <v>1</v>
      </c>
      <c r="B13">
        <v>10</v>
      </c>
      <c r="C13" s="55">
        <f>DATE(Anno,1,10)</f>
        <v>45667</v>
      </c>
      <c r="D13" s="51">
        <f t="shared" si="2"/>
        <v>45667</v>
      </c>
      <c r="E13" s="118"/>
      <c r="F13" s="122"/>
      <c r="G13" s="120"/>
      <c r="H13" s="120"/>
      <c r="I13" s="71">
        <f t="shared" si="3"/>
        <v>0</v>
      </c>
      <c r="J13" s="223"/>
      <c r="K13" s="70"/>
      <c r="L13" s="131"/>
      <c r="M13" s="132"/>
      <c r="N13" s="196"/>
      <c r="O13" s="536" t="str">
        <f t="shared" si="0"/>
        <v/>
      </c>
      <c r="P13" s="55">
        <f>DATE(Anno,7,10)</f>
        <v>45848</v>
      </c>
      <c r="Q13" s="51">
        <f t="shared" si="4"/>
        <v>45848</v>
      </c>
      <c r="R13" s="118"/>
      <c r="S13" s="123"/>
      <c r="T13" s="120"/>
      <c r="U13" s="120"/>
      <c r="V13" s="71">
        <f t="shared" si="1"/>
        <v>0</v>
      </c>
      <c r="W13" s="71"/>
      <c r="X13" s="71"/>
      <c r="Y13" s="129"/>
      <c r="Z13" s="134"/>
      <c r="AA13" s="186"/>
      <c r="AB13" s="544" t="str">
        <f t="shared" si="5"/>
        <v/>
      </c>
      <c r="AD13" s="39" t="s">
        <v>64</v>
      </c>
      <c r="AE13" s="511" t="s">
        <v>173</v>
      </c>
      <c r="AF13" s="512"/>
    </row>
    <row r="14" spans="1:32" ht="13.35" customHeight="1" x14ac:dyDescent="0.2">
      <c r="A14">
        <v>1</v>
      </c>
      <c r="B14">
        <v>11</v>
      </c>
      <c r="C14" s="55">
        <f>DATE(Anno,1,11)</f>
        <v>45668</v>
      </c>
      <c r="D14" s="51">
        <f t="shared" si="2"/>
        <v>45668</v>
      </c>
      <c r="E14" s="118"/>
      <c r="F14" s="121"/>
      <c r="G14" s="120"/>
      <c r="H14" s="120"/>
      <c r="I14" s="71">
        <f t="shared" si="3"/>
        <v>0</v>
      </c>
      <c r="J14" s="224"/>
      <c r="K14" s="73"/>
      <c r="L14" s="133"/>
      <c r="M14" s="132"/>
      <c r="N14" s="196"/>
      <c r="O14" s="536" t="str">
        <f t="shared" si="0"/>
        <v/>
      </c>
      <c r="P14" s="55">
        <f>DATE(Anno,7,11)</f>
        <v>45849</v>
      </c>
      <c r="Q14" s="51">
        <f t="shared" si="4"/>
        <v>45849</v>
      </c>
      <c r="R14" s="118"/>
      <c r="S14" s="123"/>
      <c r="T14" s="120"/>
      <c r="U14" s="120"/>
      <c r="V14" s="71">
        <f t="shared" si="1"/>
        <v>0</v>
      </c>
      <c r="W14" s="74"/>
      <c r="X14" s="74"/>
      <c r="Y14" s="135"/>
      <c r="Z14" s="134"/>
      <c r="AA14" s="186"/>
      <c r="AB14" s="544" t="str">
        <f t="shared" si="5"/>
        <v/>
      </c>
      <c r="AD14" s="39" t="s">
        <v>170</v>
      </c>
      <c r="AE14" s="511" t="s">
        <v>174</v>
      </c>
      <c r="AF14" s="512"/>
    </row>
    <row r="15" spans="1:32" ht="13.35" customHeight="1" x14ac:dyDescent="0.2">
      <c r="A15">
        <v>1</v>
      </c>
      <c r="B15">
        <v>12</v>
      </c>
      <c r="C15" s="55">
        <f>DATE(Anno,1,12)</f>
        <v>45669</v>
      </c>
      <c r="D15" s="51">
        <f t="shared" si="2"/>
        <v>45669</v>
      </c>
      <c r="E15" s="118"/>
      <c r="F15" s="121"/>
      <c r="G15" s="120"/>
      <c r="H15" s="120"/>
      <c r="I15" s="71">
        <f t="shared" si="3"/>
        <v>0</v>
      </c>
      <c r="J15" s="224"/>
      <c r="K15" s="73"/>
      <c r="L15" s="133"/>
      <c r="M15" s="132"/>
      <c r="N15" s="196"/>
      <c r="O15" s="536" t="str">
        <f t="shared" si="0"/>
        <v/>
      </c>
      <c r="P15" s="55">
        <f>DATE(Anno,7,12)</f>
        <v>45850</v>
      </c>
      <c r="Q15" s="51">
        <f t="shared" si="4"/>
        <v>45850</v>
      </c>
      <c r="R15" s="118"/>
      <c r="S15" s="123"/>
      <c r="T15" s="120"/>
      <c r="U15" s="120"/>
      <c r="V15" s="71">
        <f t="shared" si="1"/>
        <v>0</v>
      </c>
      <c r="W15" s="74"/>
      <c r="X15" s="74"/>
      <c r="Y15" s="135"/>
      <c r="Z15" s="134"/>
      <c r="AA15" s="186"/>
      <c r="AB15" s="544" t="str">
        <f t="shared" si="5"/>
        <v/>
      </c>
      <c r="AD15" s="39" t="s">
        <v>180</v>
      </c>
      <c r="AE15" s="511" t="s">
        <v>185</v>
      </c>
      <c r="AF15" s="512"/>
    </row>
    <row r="16" spans="1:32" ht="13.35" customHeight="1" x14ac:dyDescent="0.2">
      <c r="A16">
        <v>1</v>
      </c>
      <c r="B16">
        <v>13</v>
      </c>
      <c r="C16" s="55">
        <f>DATE(Anno,1,13)</f>
        <v>45670</v>
      </c>
      <c r="D16" s="51">
        <f t="shared" si="2"/>
        <v>45670</v>
      </c>
      <c r="E16" s="118"/>
      <c r="F16" s="121"/>
      <c r="G16" s="120"/>
      <c r="H16" s="120"/>
      <c r="I16" s="71">
        <f t="shared" si="3"/>
        <v>0</v>
      </c>
      <c r="J16" s="223"/>
      <c r="K16" s="70"/>
      <c r="L16" s="131"/>
      <c r="M16" s="132"/>
      <c r="N16" s="196"/>
      <c r="O16" s="536" t="str">
        <f t="shared" si="0"/>
        <v/>
      </c>
      <c r="P16" s="55">
        <f>DATE(Anno,7,13)</f>
        <v>45851</v>
      </c>
      <c r="Q16" s="51">
        <f t="shared" si="4"/>
        <v>45851</v>
      </c>
      <c r="R16" s="118"/>
      <c r="S16" s="123"/>
      <c r="T16" s="120"/>
      <c r="U16" s="120"/>
      <c r="V16" s="71">
        <f t="shared" si="1"/>
        <v>0</v>
      </c>
      <c r="W16" s="71"/>
      <c r="X16" s="71"/>
      <c r="Y16" s="129"/>
      <c r="Z16" s="134"/>
      <c r="AA16" s="186"/>
      <c r="AB16" s="544" t="str">
        <f t="shared" si="5"/>
        <v/>
      </c>
      <c r="AD16" s="39" t="s">
        <v>189</v>
      </c>
      <c r="AE16" s="511" t="s">
        <v>108</v>
      </c>
      <c r="AF16" s="512"/>
    </row>
    <row r="17" spans="1:32" ht="13.35" customHeight="1" x14ac:dyDescent="0.2">
      <c r="A17">
        <v>1</v>
      </c>
      <c r="B17">
        <v>14</v>
      </c>
      <c r="C17" s="55">
        <f>DATE(Anno,1,14)</f>
        <v>45671</v>
      </c>
      <c r="D17" s="51">
        <f t="shared" si="2"/>
        <v>45671</v>
      </c>
      <c r="E17" s="118"/>
      <c r="F17" s="121"/>
      <c r="G17" s="120"/>
      <c r="H17" s="120"/>
      <c r="I17" s="71">
        <f t="shared" si="3"/>
        <v>0</v>
      </c>
      <c r="J17" s="223"/>
      <c r="K17" s="70"/>
      <c r="L17" s="131"/>
      <c r="M17" s="132"/>
      <c r="N17" s="196"/>
      <c r="O17" s="536" t="str">
        <f t="shared" si="0"/>
        <v/>
      </c>
      <c r="P17" s="55">
        <f>DATE(Anno,7,14)</f>
        <v>45852</v>
      </c>
      <c r="Q17" s="51">
        <f t="shared" si="4"/>
        <v>45852</v>
      </c>
      <c r="R17" s="118"/>
      <c r="S17" s="123"/>
      <c r="T17" s="138"/>
      <c r="U17" s="138"/>
      <c r="V17" s="71">
        <f t="shared" si="1"/>
        <v>0</v>
      </c>
      <c r="W17" s="70"/>
      <c r="X17" s="76"/>
      <c r="Y17" s="142"/>
      <c r="Z17" s="143"/>
      <c r="AA17" s="187"/>
      <c r="AB17" s="544" t="str">
        <f t="shared" si="5"/>
        <v/>
      </c>
      <c r="AD17" s="39" t="s">
        <v>57</v>
      </c>
      <c r="AE17" s="90" t="s">
        <v>109</v>
      </c>
      <c r="AF17" s="91"/>
    </row>
    <row r="18" spans="1:32" ht="13.35" customHeight="1" x14ac:dyDescent="0.2">
      <c r="A18">
        <v>1</v>
      </c>
      <c r="B18">
        <v>15</v>
      </c>
      <c r="C18" s="55">
        <f>DATE(Anno,1,15)</f>
        <v>45672</v>
      </c>
      <c r="D18" s="51">
        <f t="shared" si="2"/>
        <v>45672</v>
      </c>
      <c r="E18" s="118"/>
      <c r="F18" s="121"/>
      <c r="G18" s="120"/>
      <c r="H18" s="120"/>
      <c r="I18" s="71">
        <f t="shared" si="3"/>
        <v>0</v>
      </c>
      <c r="J18" s="223"/>
      <c r="K18" s="70"/>
      <c r="L18" s="131"/>
      <c r="M18" s="132"/>
      <c r="N18" s="196"/>
      <c r="O18" s="536" t="str">
        <f t="shared" si="0"/>
        <v/>
      </c>
      <c r="P18" s="55">
        <f>DATE(Anno,7,15)</f>
        <v>45853</v>
      </c>
      <c r="Q18" s="51">
        <f t="shared" si="4"/>
        <v>45853</v>
      </c>
      <c r="R18" s="118"/>
      <c r="S18" s="123"/>
      <c r="T18" s="120"/>
      <c r="U18" s="120"/>
      <c r="V18" s="71">
        <f t="shared" si="1"/>
        <v>0</v>
      </c>
      <c r="W18" s="71"/>
      <c r="X18" s="71"/>
      <c r="Y18" s="129"/>
      <c r="Z18" s="134"/>
      <c r="AA18" s="186"/>
      <c r="AB18" s="544" t="str">
        <f t="shared" si="5"/>
        <v/>
      </c>
      <c r="AD18" s="39" t="s">
        <v>70</v>
      </c>
      <c r="AE18" s="90" t="s">
        <v>110</v>
      </c>
      <c r="AF18" s="91"/>
    </row>
    <row r="19" spans="1:32" ht="13.35" customHeight="1" x14ac:dyDescent="0.2">
      <c r="A19">
        <v>1</v>
      </c>
      <c r="B19">
        <v>16</v>
      </c>
      <c r="C19" s="55">
        <f>DATE(Anno,1,16)</f>
        <v>45673</v>
      </c>
      <c r="D19" s="51">
        <f t="shared" si="2"/>
        <v>45673</v>
      </c>
      <c r="E19" s="118"/>
      <c r="F19" s="121"/>
      <c r="G19" s="120"/>
      <c r="H19" s="120"/>
      <c r="I19" s="71">
        <f t="shared" si="3"/>
        <v>0</v>
      </c>
      <c r="J19" s="223"/>
      <c r="K19" s="70"/>
      <c r="L19" s="131"/>
      <c r="M19" s="134"/>
      <c r="N19" s="196"/>
      <c r="O19" s="536" t="str">
        <f t="shared" si="0"/>
        <v/>
      </c>
      <c r="P19" s="55">
        <f>DATE(Anno,7,16)</f>
        <v>45854</v>
      </c>
      <c r="Q19" s="51">
        <f t="shared" si="4"/>
        <v>45854</v>
      </c>
      <c r="R19" s="118"/>
      <c r="S19" s="123"/>
      <c r="T19" s="120"/>
      <c r="U19" s="120"/>
      <c r="V19" s="71">
        <f t="shared" si="1"/>
        <v>0</v>
      </c>
      <c r="W19" s="71"/>
      <c r="X19" s="71"/>
      <c r="Y19" s="129"/>
      <c r="Z19" s="134"/>
      <c r="AA19" s="186"/>
      <c r="AB19" s="544" t="str">
        <f t="shared" si="5"/>
        <v/>
      </c>
      <c r="AD19" s="39" t="s">
        <v>175</v>
      </c>
      <c r="AE19" s="90" t="s">
        <v>179</v>
      </c>
      <c r="AF19" s="91"/>
    </row>
    <row r="20" spans="1:32" ht="13.35" customHeight="1" x14ac:dyDescent="0.2">
      <c r="A20">
        <v>1</v>
      </c>
      <c r="B20">
        <v>17</v>
      </c>
      <c r="C20" s="55">
        <f>DATE(Anno,1,17)</f>
        <v>45674</v>
      </c>
      <c r="D20" s="51">
        <f t="shared" si="2"/>
        <v>45674</v>
      </c>
      <c r="E20" s="118"/>
      <c r="F20" s="119"/>
      <c r="G20" s="120"/>
      <c r="H20" s="120"/>
      <c r="I20" s="71">
        <f t="shared" si="3"/>
        <v>0</v>
      </c>
      <c r="J20" s="222"/>
      <c r="K20" s="71"/>
      <c r="L20" s="129"/>
      <c r="M20" s="134"/>
      <c r="N20" s="196"/>
      <c r="O20" s="536" t="str">
        <f t="shared" si="0"/>
        <v/>
      </c>
      <c r="P20" s="55">
        <f>DATE(Anno,7,17)</f>
        <v>45855</v>
      </c>
      <c r="Q20" s="51">
        <f t="shared" si="4"/>
        <v>45855</v>
      </c>
      <c r="R20" s="118"/>
      <c r="S20" s="123"/>
      <c r="T20" s="120"/>
      <c r="U20" s="120"/>
      <c r="V20" s="71">
        <f t="shared" si="1"/>
        <v>0</v>
      </c>
      <c r="W20" s="71"/>
      <c r="X20" s="71"/>
      <c r="Y20" s="129"/>
      <c r="Z20" s="134"/>
      <c r="AA20" s="186"/>
      <c r="AB20" s="544" t="str">
        <f t="shared" si="5"/>
        <v/>
      </c>
      <c r="AD20" s="39" t="s">
        <v>176</v>
      </c>
      <c r="AE20" s="90" t="s">
        <v>178</v>
      </c>
      <c r="AF20" s="91"/>
    </row>
    <row r="21" spans="1:32" ht="13.35" customHeight="1" x14ac:dyDescent="0.2">
      <c r="A21">
        <v>1</v>
      </c>
      <c r="B21">
        <v>18</v>
      </c>
      <c r="C21" s="55">
        <f>DATE(Anno,1,18)</f>
        <v>45675</v>
      </c>
      <c r="D21" s="51">
        <f t="shared" si="2"/>
        <v>45675</v>
      </c>
      <c r="E21" s="118"/>
      <c r="F21" s="123"/>
      <c r="G21" s="120"/>
      <c r="H21" s="120"/>
      <c r="I21" s="71">
        <f t="shared" si="3"/>
        <v>0</v>
      </c>
      <c r="J21" s="222"/>
      <c r="K21" s="71"/>
      <c r="L21" s="129"/>
      <c r="M21" s="134"/>
      <c r="N21" s="196"/>
      <c r="O21" s="536" t="str">
        <f t="shared" si="0"/>
        <v/>
      </c>
      <c r="P21" s="55">
        <f>DATE(Anno,7,18)</f>
        <v>45856</v>
      </c>
      <c r="Q21" s="51">
        <f t="shared" si="4"/>
        <v>45856</v>
      </c>
      <c r="R21" s="118"/>
      <c r="S21" s="123"/>
      <c r="T21" s="120"/>
      <c r="U21" s="120"/>
      <c r="V21" s="71">
        <f t="shared" si="1"/>
        <v>0</v>
      </c>
      <c r="W21" s="70"/>
      <c r="X21" s="70"/>
      <c r="Y21" s="185"/>
      <c r="Z21" s="132"/>
      <c r="AA21" s="187"/>
      <c r="AB21" s="544" t="str">
        <f t="shared" si="5"/>
        <v/>
      </c>
      <c r="AD21" s="39" t="s">
        <v>181</v>
      </c>
      <c r="AE21" s="90" t="s">
        <v>184</v>
      </c>
      <c r="AF21" s="91"/>
    </row>
    <row r="22" spans="1:32" ht="13.35" customHeight="1" x14ac:dyDescent="0.2">
      <c r="A22">
        <v>1</v>
      </c>
      <c r="B22">
        <v>19</v>
      </c>
      <c r="C22" s="55">
        <f>DATE(Anno,1,19)</f>
        <v>45676</v>
      </c>
      <c r="D22" s="51">
        <f t="shared" si="2"/>
        <v>45676</v>
      </c>
      <c r="E22" s="118"/>
      <c r="F22" s="123"/>
      <c r="G22" s="120"/>
      <c r="H22" s="120"/>
      <c r="I22" s="71">
        <f t="shared" si="3"/>
        <v>0</v>
      </c>
      <c r="J22" s="222"/>
      <c r="K22" s="71"/>
      <c r="L22" s="129"/>
      <c r="M22" s="132"/>
      <c r="N22" s="196"/>
      <c r="O22" s="536" t="str">
        <f t="shared" si="0"/>
        <v/>
      </c>
      <c r="P22" s="55">
        <f>DATE(Anno,7,19)</f>
        <v>45857</v>
      </c>
      <c r="Q22" s="51">
        <f t="shared" si="4"/>
        <v>45857</v>
      </c>
      <c r="R22" s="118"/>
      <c r="S22" s="123"/>
      <c r="T22" s="120"/>
      <c r="U22" s="120"/>
      <c r="V22" s="71">
        <f t="shared" si="1"/>
        <v>0</v>
      </c>
      <c r="W22" s="71"/>
      <c r="X22" s="71"/>
      <c r="Y22" s="129"/>
      <c r="Z22" s="134"/>
      <c r="AA22" s="186"/>
      <c r="AB22" s="544" t="str">
        <f t="shared" si="5"/>
        <v/>
      </c>
      <c r="AD22" s="39" t="s">
        <v>58</v>
      </c>
      <c r="AE22" s="90" t="s">
        <v>114</v>
      </c>
      <c r="AF22" s="91"/>
    </row>
    <row r="23" spans="1:32" ht="13.35" customHeight="1" x14ac:dyDescent="0.2">
      <c r="A23">
        <v>1</v>
      </c>
      <c r="B23">
        <v>20</v>
      </c>
      <c r="C23" s="55">
        <f>DATE(Anno,1,20)</f>
        <v>45677</v>
      </c>
      <c r="D23" s="51">
        <f t="shared" si="2"/>
        <v>45677</v>
      </c>
      <c r="E23" s="118"/>
      <c r="F23" s="123"/>
      <c r="G23" s="120"/>
      <c r="H23" s="120"/>
      <c r="I23" s="71">
        <f t="shared" si="3"/>
        <v>0</v>
      </c>
      <c r="J23" s="222"/>
      <c r="K23" s="71"/>
      <c r="L23" s="129"/>
      <c r="M23" s="134"/>
      <c r="N23" s="196"/>
      <c r="O23" s="536" t="str">
        <f t="shared" si="0"/>
        <v/>
      </c>
      <c r="P23" s="55">
        <f>DATE(Anno,7,20)</f>
        <v>45858</v>
      </c>
      <c r="Q23" s="51">
        <f t="shared" si="4"/>
        <v>45858</v>
      </c>
      <c r="R23" s="118"/>
      <c r="S23" s="123"/>
      <c r="T23" s="120"/>
      <c r="U23" s="120"/>
      <c r="V23" s="71">
        <f t="shared" si="1"/>
        <v>0</v>
      </c>
      <c r="W23" s="71"/>
      <c r="X23" s="71"/>
      <c r="Y23" s="129"/>
      <c r="Z23" s="134"/>
      <c r="AA23" s="186"/>
      <c r="AB23" s="544" t="str">
        <f t="shared" si="5"/>
        <v/>
      </c>
      <c r="AD23" s="39" t="s">
        <v>98</v>
      </c>
      <c r="AE23" s="90" t="s">
        <v>115</v>
      </c>
      <c r="AF23" s="91"/>
    </row>
    <row r="24" spans="1:32" ht="13.35" customHeight="1" x14ac:dyDescent="0.2">
      <c r="A24">
        <v>1</v>
      </c>
      <c r="B24">
        <v>21</v>
      </c>
      <c r="C24" s="55">
        <f>DATE(Anno,1,21)</f>
        <v>45678</v>
      </c>
      <c r="D24" s="51">
        <f t="shared" si="2"/>
        <v>45678</v>
      </c>
      <c r="E24" s="118"/>
      <c r="F24" s="123"/>
      <c r="G24" s="120"/>
      <c r="H24" s="120"/>
      <c r="I24" s="71">
        <f t="shared" si="3"/>
        <v>0</v>
      </c>
      <c r="J24" s="222"/>
      <c r="K24" s="71"/>
      <c r="L24" s="129"/>
      <c r="M24" s="134"/>
      <c r="N24" s="196"/>
      <c r="O24" s="536" t="str">
        <f t="shared" si="0"/>
        <v/>
      </c>
      <c r="P24" s="55">
        <f>DATE(Anno,7,21)</f>
        <v>45859</v>
      </c>
      <c r="Q24" s="51">
        <f t="shared" si="4"/>
        <v>45859</v>
      </c>
      <c r="R24" s="118"/>
      <c r="S24" s="123"/>
      <c r="T24" s="120"/>
      <c r="U24" s="120"/>
      <c r="V24" s="71">
        <f t="shared" si="1"/>
        <v>0</v>
      </c>
      <c r="W24" s="70"/>
      <c r="X24" s="70"/>
      <c r="Y24" s="144"/>
      <c r="Z24" s="145"/>
      <c r="AA24" s="188"/>
      <c r="AB24" s="544" t="str">
        <f t="shared" si="5"/>
        <v/>
      </c>
      <c r="AD24" s="39" t="s">
        <v>60</v>
      </c>
      <c r="AE24" s="90" t="s">
        <v>111</v>
      </c>
      <c r="AF24" s="91"/>
    </row>
    <row r="25" spans="1:32" ht="13.35" customHeight="1" x14ac:dyDescent="0.2">
      <c r="A25">
        <v>1</v>
      </c>
      <c r="B25">
        <v>22</v>
      </c>
      <c r="C25" s="55">
        <f>DATE(Anno,1,22)</f>
        <v>45679</v>
      </c>
      <c r="D25" s="51">
        <f t="shared" si="2"/>
        <v>45679</v>
      </c>
      <c r="E25" s="118"/>
      <c r="F25" s="123"/>
      <c r="G25" s="120"/>
      <c r="H25" s="120"/>
      <c r="I25" s="71">
        <f t="shared" si="3"/>
        <v>0</v>
      </c>
      <c r="J25" s="222"/>
      <c r="K25" s="71"/>
      <c r="L25" s="129"/>
      <c r="M25" s="134"/>
      <c r="N25" s="196"/>
      <c r="O25" s="536" t="str">
        <f t="shared" si="0"/>
        <v/>
      </c>
      <c r="P25" s="55">
        <f>DATE(Anno,7,22)</f>
        <v>45860</v>
      </c>
      <c r="Q25" s="51">
        <f t="shared" si="4"/>
        <v>45860</v>
      </c>
      <c r="R25" s="118"/>
      <c r="S25" s="123"/>
      <c r="T25" s="120"/>
      <c r="U25" s="120"/>
      <c r="V25" s="71">
        <f t="shared" si="1"/>
        <v>0</v>
      </c>
      <c r="W25" s="83"/>
      <c r="X25" s="83"/>
      <c r="Y25" s="144"/>
      <c r="Z25" s="145"/>
      <c r="AA25" s="188"/>
      <c r="AB25" s="544" t="str">
        <f t="shared" si="5"/>
        <v/>
      </c>
      <c r="AD25" s="39" t="s">
        <v>21</v>
      </c>
      <c r="AE25" s="90" t="s">
        <v>116</v>
      </c>
      <c r="AF25" s="91"/>
    </row>
    <row r="26" spans="1:32" ht="13.35" customHeight="1" x14ac:dyDescent="0.2">
      <c r="A26">
        <v>1</v>
      </c>
      <c r="B26">
        <v>23</v>
      </c>
      <c r="C26" s="55">
        <f>DATE(Anno,1,23)</f>
        <v>45680</v>
      </c>
      <c r="D26" s="51">
        <f t="shared" si="2"/>
        <v>45680</v>
      </c>
      <c r="E26" s="118"/>
      <c r="F26" s="123"/>
      <c r="G26" s="120"/>
      <c r="H26" s="120"/>
      <c r="I26" s="71">
        <f t="shared" si="3"/>
        <v>0</v>
      </c>
      <c r="J26" s="223"/>
      <c r="K26" s="70"/>
      <c r="L26" s="129"/>
      <c r="M26" s="134"/>
      <c r="N26" s="196"/>
      <c r="O26" s="536" t="str">
        <f t="shared" si="0"/>
        <v/>
      </c>
      <c r="P26" s="55">
        <f>DATE(Anno,7,23)</f>
        <v>45861</v>
      </c>
      <c r="Q26" s="51">
        <f t="shared" si="4"/>
        <v>45861</v>
      </c>
      <c r="R26" s="118"/>
      <c r="S26" s="123"/>
      <c r="T26" s="120"/>
      <c r="U26" s="120"/>
      <c r="V26" s="71">
        <f t="shared" si="1"/>
        <v>0</v>
      </c>
      <c r="W26" s="70"/>
      <c r="X26" s="70"/>
      <c r="Y26" s="131"/>
      <c r="Z26" s="134"/>
      <c r="AA26" s="186"/>
      <c r="AB26" s="544" t="str">
        <f t="shared" si="5"/>
        <v/>
      </c>
      <c r="AD26" s="39" t="s">
        <v>190</v>
      </c>
      <c r="AE26" s="90" t="s">
        <v>107</v>
      </c>
      <c r="AF26" s="91"/>
    </row>
    <row r="27" spans="1:32" ht="13.35" customHeight="1" x14ac:dyDescent="0.2">
      <c r="A27">
        <v>1</v>
      </c>
      <c r="B27">
        <v>24</v>
      </c>
      <c r="C27" s="55">
        <f>DATE(Anno,1,24)</f>
        <v>45681</v>
      </c>
      <c r="D27" s="51">
        <f t="shared" si="2"/>
        <v>45681</v>
      </c>
      <c r="E27" s="118"/>
      <c r="F27" s="123"/>
      <c r="G27" s="120"/>
      <c r="H27" s="120"/>
      <c r="I27" s="71">
        <f t="shared" si="3"/>
        <v>0</v>
      </c>
      <c r="J27" s="222"/>
      <c r="K27" s="71"/>
      <c r="L27" s="129"/>
      <c r="M27" s="134"/>
      <c r="N27" s="196"/>
      <c r="O27" s="536" t="str">
        <f t="shared" si="0"/>
        <v/>
      </c>
      <c r="P27" s="55">
        <f>DATE(Anno,7,24)</f>
        <v>45862</v>
      </c>
      <c r="Q27" s="51">
        <f t="shared" si="4"/>
        <v>45862</v>
      </c>
      <c r="R27" s="118"/>
      <c r="S27" s="121"/>
      <c r="T27" s="120"/>
      <c r="U27" s="120"/>
      <c r="V27" s="71">
        <f t="shared" si="1"/>
        <v>0</v>
      </c>
      <c r="W27" s="70"/>
      <c r="X27" s="70"/>
      <c r="Y27" s="131"/>
      <c r="Z27" s="134"/>
      <c r="AA27" s="186"/>
      <c r="AB27" s="544" t="str">
        <f t="shared" si="5"/>
        <v/>
      </c>
      <c r="AD27" s="39" t="s">
        <v>65</v>
      </c>
      <c r="AE27" s="90" t="s">
        <v>113</v>
      </c>
      <c r="AF27" s="91"/>
    </row>
    <row r="28" spans="1:32" ht="13.35" customHeight="1" x14ac:dyDescent="0.2">
      <c r="A28">
        <v>1</v>
      </c>
      <c r="B28">
        <v>25</v>
      </c>
      <c r="C28" s="55">
        <f>DATE(Anno,1,25)</f>
        <v>45682</v>
      </c>
      <c r="D28" s="51">
        <f t="shared" si="2"/>
        <v>45682</v>
      </c>
      <c r="E28" s="118"/>
      <c r="F28" s="119"/>
      <c r="G28" s="120"/>
      <c r="H28" s="120"/>
      <c r="I28" s="71">
        <f t="shared" si="3"/>
        <v>0</v>
      </c>
      <c r="J28" s="222"/>
      <c r="K28" s="71"/>
      <c r="L28" s="129"/>
      <c r="M28" s="134"/>
      <c r="N28" s="196"/>
      <c r="O28" s="536" t="str">
        <f t="shared" si="0"/>
        <v/>
      </c>
      <c r="P28" s="55">
        <f>DATE(Anno,7,25)</f>
        <v>45863</v>
      </c>
      <c r="Q28" s="51">
        <f t="shared" si="4"/>
        <v>45863</v>
      </c>
      <c r="R28" s="118"/>
      <c r="S28" s="123"/>
      <c r="T28" s="120"/>
      <c r="U28" s="120"/>
      <c r="V28" s="71">
        <f t="shared" si="1"/>
        <v>0</v>
      </c>
      <c r="W28" s="83"/>
      <c r="X28" s="83"/>
      <c r="Y28" s="144"/>
      <c r="Z28" s="134"/>
      <c r="AA28" s="186"/>
      <c r="AB28" s="544" t="str">
        <f t="shared" si="5"/>
        <v/>
      </c>
      <c r="AD28" s="39" t="s">
        <v>77</v>
      </c>
      <c r="AE28" s="90" t="s">
        <v>117</v>
      </c>
      <c r="AF28" s="91"/>
    </row>
    <row r="29" spans="1:32" ht="13.35" customHeight="1" x14ac:dyDescent="0.2">
      <c r="A29">
        <v>1</v>
      </c>
      <c r="B29">
        <v>26</v>
      </c>
      <c r="C29" s="55">
        <f>DATE(Anno,1,26)</f>
        <v>45683</v>
      </c>
      <c r="D29" s="51">
        <f t="shared" si="2"/>
        <v>45683</v>
      </c>
      <c r="E29" s="118"/>
      <c r="F29" s="123"/>
      <c r="G29" s="120"/>
      <c r="H29" s="120"/>
      <c r="I29" s="71">
        <f t="shared" si="3"/>
        <v>0</v>
      </c>
      <c r="J29" s="222"/>
      <c r="K29" s="71"/>
      <c r="L29" s="129"/>
      <c r="M29" s="134"/>
      <c r="N29" s="196"/>
      <c r="O29" s="536" t="str">
        <f t="shared" si="0"/>
        <v/>
      </c>
      <c r="P29" s="55">
        <f>DATE(Anno,7,26)</f>
        <v>45864</v>
      </c>
      <c r="Q29" s="51">
        <f t="shared" si="4"/>
        <v>45864</v>
      </c>
      <c r="R29" s="118"/>
      <c r="S29" s="140"/>
      <c r="T29" s="120"/>
      <c r="U29" s="120"/>
      <c r="V29" s="71">
        <f t="shared" si="1"/>
        <v>0</v>
      </c>
      <c r="W29" s="77"/>
      <c r="X29" s="77"/>
      <c r="Y29" s="146"/>
      <c r="Z29" s="134"/>
      <c r="AA29" s="186"/>
      <c r="AB29" s="544" t="str">
        <f t="shared" si="5"/>
        <v/>
      </c>
      <c r="AD29" s="39" t="s">
        <v>79</v>
      </c>
      <c r="AE29" s="90" t="s">
        <v>118</v>
      </c>
      <c r="AF29" s="91"/>
    </row>
    <row r="30" spans="1:32" ht="13.35" customHeight="1" x14ac:dyDescent="0.2">
      <c r="A30">
        <v>1</v>
      </c>
      <c r="B30">
        <v>27</v>
      </c>
      <c r="C30" s="55">
        <f>DATE(Anno,1,27)</f>
        <v>45684</v>
      </c>
      <c r="D30" s="51">
        <f t="shared" si="2"/>
        <v>45684</v>
      </c>
      <c r="E30" s="118"/>
      <c r="F30" s="123"/>
      <c r="G30" s="120"/>
      <c r="H30" s="120"/>
      <c r="I30" s="71">
        <f t="shared" si="3"/>
        <v>0</v>
      </c>
      <c r="J30" s="225"/>
      <c r="K30" s="74"/>
      <c r="L30" s="135"/>
      <c r="M30" s="134"/>
      <c r="N30" s="196"/>
      <c r="O30" s="536" t="str">
        <f t="shared" si="0"/>
        <v/>
      </c>
      <c r="P30" s="55">
        <f>DATE(Anno,7,27)</f>
        <v>45865</v>
      </c>
      <c r="Q30" s="51">
        <f t="shared" si="4"/>
        <v>45865</v>
      </c>
      <c r="R30" s="118"/>
      <c r="S30" s="140"/>
      <c r="T30" s="120"/>
      <c r="U30" s="120"/>
      <c r="V30" s="71">
        <f t="shared" si="1"/>
        <v>0</v>
      </c>
      <c r="W30" s="84"/>
      <c r="X30" s="84"/>
      <c r="Y30" s="147"/>
      <c r="Z30" s="132"/>
      <c r="AA30" s="187"/>
      <c r="AB30" s="544" t="str">
        <f t="shared" si="5"/>
        <v/>
      </c>
      <c r="AD30" s="39" t="s">
        <v>62</v>
      </c>
      <c r="AE30" s="90" t="s">
        <v>119</v>
      </c>
      <c r="AF30" s="91"/>
    </row>
    <row r="31" spans="1:32" ht="13.35" customHeight="1" thickBot="1" x14ac:dyDescent="0.25">
      <c r="A31">
        <v>1</v>
      </c>
      <c r="B31">
        <v>28</v>
      </c>
      <c r="C31" s="55">
        <f>DATE(Anno,1,28)</f>
        <v>45685</v>
      </c>
      <c r="D31" s="51">
        <f t="shared" si="2"/>
        <v>45685</v>
      </c>
      <c r="E31" s="118"/>
      <c r="F31" s="123"/>
      <c r="G31" s="120"/>
      <c r="H31" s="120"/>
      <c r="I31" s="71">
        <f t="shared" si="3"/>
        <v>0</v>
      </c>
      <c r="J31" s="225"/>
      <c r="K31" s="74"/>
      <c r="L31" s="135"/>
      <c r="M31" s="134"/>
      <c r="N31" s="196"/>
      <c r="O31" s="536" t="str">
        <f t="shared" si="0"/>
        <v/>
      </c>
      <c r="P31" s="55">
        <f>DATE(Anno,7,28)</f>
        <v>45866</v>
      </c>
      <c r="Q31" s="51">
        <f t="shared" si="4"/>
        <v>45866</v>
      </c>
      <c r="R31" s="118"/>
      <c r="S31" s="140"/>
      <c r="T31" s="120"/>
      <c r="U31" s="120"/>
      <c r="V31" s="71">
        <f t="shared" si="1"/>
        <v>0</v>
      </c>
      <c r="W31" s="70"/>
      <c r="X31" s="70"/>
      <c r="Y31" s="129"/>
      <c r="Z31" s="134"/>
      <c r="AA31" s="186"/>
      <c r="AB31" s="544" t="str">
        <f t="shared" si="5"/>
        <v/>
      </c>
      <c r="AD31" s="39" t="s">
        <v>27</v>
      </c>
      <c r="AE31" s="90" t="s">
        <v>120</v>
      </c>
      <c r="AF31" s="91"/>
    </row>
    <row r="32" spans="1:32" ht="13.35" customHeight="1" x14ac:dyDescent="0.2">
      <c r="A32">
        <v>1</v>
      </c>
      <c r="B32">
        <v>29</v>
      </c>
      <c r="C32" s="55">
        <f>DATE(Anno,1,29)</f>
        <v>45686</v>
      </c>
      <c r="D32" s="51">
        <f t="shared" si="2"/>
        <v>45686</v>
      </c>
      <c r="E32" s="118"/>
      <c r="F32" s="123"/>
      <c r="G32" s="120"/>
      <c r="H32" s="120"/>
      <c r="I32" s="226">
        <f t="shared" si="3"/>
        <v>0</v>
      </c>
      <c r="J32" s="494" t="s">
        <v>131</v>
      </c>
      <c r="K32" s="227"/>
      <c r="L32" s="129"/>
      <c r="M32" s="134"/>
      <c r="N32" s="196"/>
      <c r="O32" s="536" t="str">
        <f t="shared" si="0"/>
        <v/>
      </c>
      <c r="P32" s="55">
        <f>DATE(Anno,7,29)</f>
        <v>45867</v>
      </c>
      <c r="Q32" s="51">
        <f t="shared" si="4"/>
        <v>45867</v>
      </c>
      <c r="R32" s="118"/>
      <c r="S32" s="140"/>
      <c r="T32" s="120"/>
      <c r="U32" s="120"/>
      <c r="V32" s="71">
        <f t="shared" si="1"/>
        <v>0</v>
      </c>
      <c r="W32" s="494" t="s">
        <v>131</v>
      </c>
      <c r="X32" s="211"/>
      <c r="Y32" s="144"/>
      <c r="Z32" s="134"/>
      <c r="AA32" s="186"/>
      <c r="AB32" s="544" t="str">
        <f t="shared" si="5"/>
        <v/>
      </c>
      <c r="AD32" s="39" t="s">
        <v>140</v>
      </c>
      <c r="AE32" s="90" t="s">
        <v>142</v>
      </c>
      <c r="AF32" s="91"/>
    </row>
    <row r="33" spans="1:37" ht="13.35" customHeight="1" thickBot="1" x14ac:dyDescent="0.25">
      <c r="A33">
        <v>1</v>
      </c>
      <c r="B33">
        <v>30</v>
      </c>
      <c r="C33" s="55">
        <f>DATE(Anno,1,30)</f>
        <v>45687</v>
      </c>
      <c r="D33" s="51">
        <f t="shared" si="2"/>
        <v>45687</v>
      </c>
      <c r="E33" s="118"/>
      <c r="F33" s="123"/>
      <c r="G33" s="120"/>
      <c r="H33" s="120"/>
      <c r="I33" s="226">
        <f t="shared" si="3"/>
        <v>0</v>
      </c>
      <c r="J33" s="496"/>
      <c r="K33" s="228"/>
      <c r="L33" s="129"/>
      <c r="M33" s="134"/>
      <c r="N33" s="196"/>
      <c r="O33" s="536" t="str">
        <f t="shared" si="0"/>
        <v/>
      </c>
      <c r="P33" s="55">
        <f>DATE(Anno,7,30)</f>
        <v>45868</v>
      </c>
      <c r="Q33" s="51">
        <f t="shared" si="4"/>
        <v>45868</v>
      </c>
      <c r="R33" s="118"/>
      <c r="S33" s="140"/>
      <c r="T33" s="120"/>
      <c r="U33" s="120"/>
      <c r="V33" s="71">
        <f t="shared" si="1"/>
        <v>0</v>
      </c>
      <c r="W33" s="496"/>
      <c r="X33" s="214"/>
      <c r="Y33" s="144"/>
      <c r="Z33" s="134"/>
      <c r="AA33" s="186"/>
      <c r="AB33" s="544" t="str">
        <f t="shared" si="5"/>
        <v/>
      </c>
      <c r="AD33" s="39" t="s">
        <v>28</v>
      </c>
      <c r="AE33" s="90" t="s">
        <v>122</v>
      </c>
      <c r="AF33" s="91"/>
    </row>
    <row r="34" spans="1:37" ht="13.35" customHeight="1" thickBot="1" x14ac:dyDescent="0.25">
      <c r="A34">
        <v>1</v>
      </c>
      <c r="B34">
        <v>31</v>
      </c>
      <c r="C34" s="56">
        <f>DATE(Anno,1,31)</f>
        <v>45688</v>
      </c>
      <c r="D34" s="57">
        <f t="shared" si="2"/>
        <v>45688</v>
      </c>
      <c r="E34" s="124"/>
      <c r="F34" s="125"/>
      <c r="G34" s="126"/>
      <c r="H34" s="126"/>
      <c r="I34" s="229">
        <f t="shared" si="3"/>
        <v>0</v>
      </c>
      <c r="J34" s="230">
        <f>SUM(I4:I34)</f>
        <v>0</v>
      </c>
      <c r="K34" s="269">
        <f>ROUNDDOWN((31*38)/7,0)</f>
        <v>168</v>
      </c>
      <c r="L34" s="213"/>
      <c r="M34" s="137"/>
      <c r="N34" s="197"/>
      <c r="O34" s="537" t="str">
        <f t="shared" si="0"/>
        <v/>
      </c>
      <c r="P34" s="61">
        <f>DATE(Anno,7,31)</f>
        <v>45869</v>
      </c>
      <c r="Q34" s="62">
        <f t="shared" si="4"/>
        <v>45869</v>
      </c>
      <c r="R34" s="163"/>
      <c r="S34" s="184"/>
      <c r="T34" s="165"/>
      <c r="U34" s="165"/>
      <c r="V34" s="233">
        <f t="shared" si="1"/>
        <v>0</v>
      </c>
      <c r="W34" s="234">
        <f>SUM(V4:V34)</f>
        <v>0</v>
      </c>
      <c r="X34" s="269">
        <f>ROUNDDOWN((31*38)/7,0)</f>
        <v>168</v>
      </c>
      <c r="Y34" s="181"/>
      <c r="Z34" s="235"/>
      <c r="AA34" s="236"/>
      <c r="AB34" s="545" t="str">
        <f t="shared" si="5"/>
        <v/>
      </c>
    </row>
    <row r="35" spans="1:37" ht="13.35" customHeight="1" thickBot="1" x14ac:dyDescent="0.25">
      <c r="C35" s="522"/>
      <c r="D35" s="523"/>
      <c r="E35" s="523"/>
      <c r="F35" s="523"/>
      <c r="G35" s="523"/>
      <c r="H35" s="523"/>
      <c r="I35" s="523"/>
      <c r="J35" s="75"/>
      <c r="K35" s="75"/>
      <c r="L35" s="75"/>
      <c r="M35" s="67"/>
      <c r="N35" s="263" t="s">
        <v>188</v>
      </c>
      <c r="O35" s="538">
        <f>COUNTIF(O4:O34,"1")</f>
        <v>0</v>
      </c>
      <c r="P35" s="524"/>
      <c r="Q35" s="525"/>
      <c r="R35" s="525"/>
      <c r="S35" s="525"/>
      <c r="T35" s="525"/>
      <c r="U35" s="525"/>
      <c r="V35" s="525"/>
      <c r="W35" s="86"/>
      <c r="X35" s="86"/>
      <c r="Y35" s="86"/>
      <c r="Z35" s="65"/>
      <c r="AA35" s="262" t="s">
        <v>188</v>
      </c>
      <c r="AB35" s="546">
        <f>COUNTIF(AB4:AB34,"1")</f>
        <v>0</v>
      </c>
    </row>
    <row r="36" spans="1:37" s="35" customFormat="1" ht="25.35" customHeight="1" thickBot="1" x14ac:dyDescent="0.25">
      <c r="C36" s="238" t="s">
        <v>4</v>
      </c>
      <c r="D36" s="239"/>
      <c r="E36" s="239"/>
      <c r="F36" s="239"/>
      <c r="G36" s="239"/>
      <c r="H36" s="239"/>
      <c r="I36" s="239"/>
      <c r="J36" s="239"/>
      <c r="K36" s="239"/>
      <c r="L36" s="239"/>
      <c r="M36" s="237"/>
      <c r="N36" s="237"/>
      <c r="O36" s="532"/>
      <c r="P36" s="261" t="s">
        <v>10</v>
      </c>
      <c r="Q36" s="261"/>
      <c r="R36" s="261"/>
      <c r="S36" s="261"/>
      <c r="T36" s="261"/>
      <c r="U36" s="261"/>
      <c r="V36" s="261"/>
      <c r="W36" s="261"/>
      <c r="X36" s="261"/>
      <c r="Y36" s="261"/>
      <c r="Z36" s="259"/>
      <c r="AA36" s="259"/>
      <c r="AB36" s="542"/>
      <c r="AG36"/>
      <c r="AH36"/>
      <c r="AI36"/>
      <c r="AJ36"/>
      <c r="AK36"/>
    </row>
    <row r="37" spans="1:37" ht="13.35" customHeight="1" thickBot="1" x14ac:dyDescent="0.25">
      <c r="C37" s="499" t="s">
        <v>112</v>
      </c>
      <c r="D37" s="501" t="s">
        <v>100</v>
      </c>
      <c r="E37" s="503" t="s">
        <v>104</v>
      </c>
      <c r="F37" s="491" t="s">
        <v>101</v>
      </c>
      <c r="G37" s="240" t="s">
        <v>129</v>
      </c>
      <c r="H37" s="241"/>
      <c r="I37" s="494" t="s">
        <v>130</v>
      </c>
      <c r="J37" s="513" t="s">
        <v>131</v>
      </c>
      <c r="K37" s="494" t="s">
        <v>152</v>
      </c>
      <c r="L37" s="513" t="s">
        <v>132</v>
      </c>
      <c r="M37" s="497" t="s">
        <v>129</v>
      </c>
      <c r="N37" s="497" t="s">
        <v>144</v>
      </c>
      <c r="O37" s="533" t="s">
        <v>128</v>
      </c>
      <c r="P37" s="499" t="s">
        <v>112</v>
      </c>
      <c r="Q37" s="501" t="s">
        <v>100</v>
      </c>
      <c r="R37" s="503" t="s">
        <v>104</v>
      </c>
      <c r="S37" s="491" t="s">
        <v>101</v>
      </c>
      <c r="T37" s="244" t="s">
        <v>129</v>
      </c>
      <c r="U37" s="241"/>
      <c r="V37" s="494" t="s">
        <v>130</v>
      </c>
      <c r="W37" s="513" t="s">
        <v>131</v>
      </c>
      <c r="X37" s="494" t="s">
        <v>152</v>
      </c>
      <c r="Y37" s="513" t="s">
        <v>132</v>
      </c>
      <c r="Z37" s="497" t="s">
        <v>129</v>
      </c>
      <c r="AA37" s="497" t="s">
        <v>144</v>
      </c>
      <c r="AB37" s="533" t="s">
        <v>128</v>
      </c>
      <c r="AD37" s="267" t="s">
        <v>187</v>
      </c>
      <c r="AE37" s="268">
        <f>O35+O70+O105+O140+O175+O210+AB35+AB70+AB105+AB140+AB175+AB210</f>
        <v>0</v>
      </c>
    </row>
    <row r="38" spans="1:37" ht="13.35" customHeight="1" thickBot="1" x14ac:dyDescent="0.25">
      <c r="C38" s="500"/>
      <c r="D38" s="502"/>
      <c r="E38" s="504"/>
      <c r="F38" s="492"/>
      <c r="G38" s="47" t="s">
        <v>102</v>
      </c>
      <c r="H38" s="47" t="s">
        <v>103</v>
      </c>
      <c r="I38" s="496"/>
      <c r="J38" s="514"/>
      <c r="K38" s="496"/>
      <c r="L38" s="514"/>
      <c r="M38" s="498"/>
      <c r="N38" s="498"/>
      <c r="O38" s="534"/>
      <c r="P38" s="515"/>
      <c r="Q38" s="517"/>
      <c r="R38" s="516"/>
      <c r="S38" s="493"/>
      <c r="T38" s="49" t="s">
        <v>102</v>
      </c>
      <c r="U38" s="49" t="s">
        <v>103</v>
      </c>
      <c r="V38" s="495"/>
      <c r="W38" s="518"/>
      <c r="X38" s="495"/>
      <c r="Y38" s="518"/>
      <c r="Z38" s="519"/>
      <c r="AA38" s="519"/>
      <c r="AB38" s="547"/>
      <c r="AD38" s="44"/>
    </row>
    <row r="39" spans="1:37" ht="13.35" customHeight="1" x14ac:dyDescent="0.2">
      <c r="A39">
        <v>2</v>
      </c>
      <c r="B39">
        <v>1</v>
      </c>
      <c r="C39" s="58">
        <f>DATE(Anno,2,1)</f>
        <v>45689</v>
      </c>
      <c r="D39" s="40">
        <f>C39</f>
        <v>45689</v>
      </c>
      <c r="E39" s="150"/>
      <c r="F39" s="151"/>
      <c r="G39" s="138"/>
      <c r="H39" s="138"/>
      <c r="I39" s="76">
        <f t="shared" ref="I39:I69" si="6">IF(C39="","",IF(OR(G39="",H39=""),,IF(H39&lt;G39,MOD(H39-G39,1),H39-G39)))</f>
        <v>0</v>
      </c>
      <c r="J39" s="76"/>
      <c r="K39" s="76"/>
      <c r="L39" s="142"/>
      <c r="M39" s="143"/>
      <c r="N39" s="198"/>
      <c r="O39" s="535" t="str">
        <f t="shared" ref="O39:O69" si="7">IF(E39="d","1","")&amp;IF(E39="P","1","")&amp;IF(E39="FL","1","")&amp;IF(E39="IL","1","")&amp;IF(E39="V","1","")</f>
        <v/>
      </c>
      <c r="P39" s="53">
        <f>DATE(Anno,8,1)</f>
        <v>45870</v>
      </c>
      <c r="Q39" s="54">
        <f>P39</f>
        <v>45870</v>
      </c>
      <c r="R39" s="115"/>
      <c r="S39" s="252"/>
      <c r="T39" s="117"/>
      <c r="U39" s="117"/>
      <c r="V39" s="72">
        <f t="shared" ref="V39:V69" si="8">IF(P39="","",IF(OR(T39="",U39=""),,IF(U39&lt;T39,MOD(U39-T39,1),U39-T39)))</f>
        <v>0</v>
      </c>
      <c r="W39" s="253"/>
      <c r="X39" s="253"/>
      <c r="Y39" s="254"/>
      <c r="Z39" s="128"/>
      <c r="AA39" s="255"/>
      <c r="AB39" s="548" t="str">
        <f t="shared" ref="AB39:AB69" si="9">IF(R39="d","1","")&amp;IF(R39="P","1","")&amp;IF(R39="FL","1","")&amp;IF(R39="IL","1","")&amp;IF(R39="V","1","")</f>
        <v/>
      </c>
    </row>
    <row r="40" spans="1:37" ht="13.35" customHeight="1" x14ac:dyDescent="0.2">
      <c r="A40">
        <v>2</v>
      </c>
      <c r="B40">
        <v>2</v>
      </c>
      <c r="C40" s="55">
        <f>DATE(Anno,2,2)</f>
        <v>45690</v>
      </c>
      <c r="D40" s="51">
        <f t="shared" ref="D40:D66" si="10">C40</f>
        <v>45690</v>
      </c>
      <c r="E40" s="118"/>
      <c r="F40" s="121"/>
      <c r="G40" s="120"/>
      <c r="H40" s="120"/>
      <c r="I40" s="76">
        <f t="shared" si="6"/>
        <v>0</v>
      </c>
      <c r="J40" s="70"/>
      <c r="K40" s="70"/>
      <c r="L40" s="131"/>
      <c r="M40" s="134"/>
      <c r="N40" s="196"/>
      <c r="O40" s="535" t="str">
        <f t="shared" si="7"/>
        <v/>
      </c>
      <c r="P40" s="55">
        <f>DATE(Anno,8,2)</f>
        <v>45871</v>
      </c>
      <c r="Q40" s="51">
        <f t="shared" ref="Q40:Q69" si="11">P40</f>
        <v>45871</v>
      </c>
      <c r="R40" s="118"/>
      <c r="S40" s="156"/>
      <c r="T40" s="120"/>
      <c r="U40" s="120"/>
      <c r="V40" s="71">
        <f t="shared" si="8"/>
        <v>0</v>
      </c>
      <c r="W40" s="71"/>
      <c r="X40" s="71"/>
      <c r="Y40" s="146"/>
      <c r="Z40" s="134"/>
      <c r="AA40" s="186"/>
      <c r="AB40" s="544" t="str">
        <f t="shared" si="9"/>
        <v/>
      </c>
    </row>
    <row r="41" spans="1:37" ht="13.35" customHeight="1" x14ac:dyDescent="0.2">
      <c r="A41">
        <v>2</v>
      </c>
      <c r="B41">
        <v>3</v>
      </c>
      <c r="C41" s="55">
        <f>DATE(Anno,2,3)</f>
        <v>45691</v>
      </c>
      <c r="D41" s="51">
        <f t="shared" si="10"/>
        <v>45691</v>
      </c>
      <c r="E41" s="118"/>
      <c r="F41" s="121"/>
      <c r="G41" s="120"/>
      <c r="H41" s="120"/>
      <c r="I41" s="76">
        <f t="shared" si="6"/>
        <v>0</v>
      </c>
      <c r="J41" s="70"/>
      <c r="K41" s="70"/>
      <c r="L41" s="131"/>
      <c r="M41" s="132"/>
      <c r="N41" s="196"/>
      <c r="O41" s="535" t="str">
        <f t="shared" si="7"/>
        <v/>
      </c>
      <c r="P41" s="55">
        <f>DATE(Anno,8,3)</f>
        <v>45872</v>
      </c>
      <c r="Q41" s="51">
        <f t="shared" si="11"/>
        <v>45872</v>
      </c>
      <c r="R41" s="118"/>
      <c r="S41" s="156"/>
      <c r="T41" s="120"/>
      <c r="U41" s="120"/>
      <c r="V41" s="71">
        <f t="shared" si="8"/>
        <v>0</v>
      </c>
      <c r="W41" s="71"/>
      <c r="X41" s="71"/>
      <c r="Y41" s="146"/>
      <c r="Z41" s="134"/>
      <c r="AA41" s="186"/>
      <c r="AB41" s="544" t="str">
        <f t="shared" si="9"/>
        <v/>
      </c>
      <c r="AF41" s="38"/>
    </row>
    <row r="42" spans="1:37" ht="13.35" customHeight="1" x14ac:dyDescent="0.2">
      <c r="A42">
        <v>2</v>
      </c>
      <c r="B42">
        <v>4</v>
      </c>
      <c r="C42" s="55">
        <f>DATE(Anno,2,4)</f>
        <v>45692</v>
      </c>
      <c r="D42" s="51">
        <f t="shared" si="10"/>
        <v>45692</v>
      </c>
      <c r="E42" s="118"/>
      <c r="F42" s="122"/>
      <c r="G42" s="120"/>
      <c r="H42" s="120"/>
      <c r="I42" s="76">
        <f t="shared" si="6"/>
        <v>0</v>
      </c>
      <c r="J42" s="70"/>
      <c r="K42" s="70"/>
      <c r="L42" s="131"/>
      <c r="M42" s="134"/>
      <c r="N42" s="196"/>
      <c r="O42" s="535" t="str">
        <f t="shared" si="7"/>
        <v/>
      </c>
      <c r="P42" s="55">
        <f>DATE(Anno,8,4)</f>
        <v>45873</v>
      </c>
      <c r="Q42" s="51">
        <f t="shared" si="11"/>
        <v>45873</v>
      </c>
      <c r="R42" s="118"/>
      <c r="S42" s="139"/>
      <c r="T42" s="120"/>
      <c r="U42" s="120"/>
      <c r="V42" s="71">
        <f t="shared" si="8"/>
        <v>0</v>
      </c>
      <c r="W42" s="70"/>
      <c r="X42" s="70"/>
      <c r="Y42" s="146"/>
      <c r="Z42" s="134"/>
      <c r="AA42" s="186"/>
      <c r="AB42" s="544" t="str">
        <f t="shared" si="9"/>
        <v/>
      </c>
    </row>
    <row r="43" spans="1:37" ht="13.35" customHeight="1" x14ac:dyDescent="0.2">
      <c r="A43">
        <v>2</v>
      </c>
      <c r="B43">
        <v>5</v>
      </c>
      <c r="C43" s="55">
        <f>DATE(Anno,2,5)</f>
        <v>45693</v>
      </c>
      <c r="D43" s="51">
        <f t="shared" si="10"/>
        <v>45693</v>
      </c>
      <c r="E43" s="118"/>
      <c r="F43" s="122"/>
      <c r="G43" s="120"/>
      <c r="H43" s="120"/>
      <c r="I43" s="76">
        <f t="shared" si="6"/>
        <v>0</v>
      </c>
      <c r="J43" s="70"/>
      <c r="K43" s="70"/>
      <c r="L43" s="131"/>
      <c r="M43" s="134"/>
      <c r="N43" s="196"/>
      <c r="O43" s="535" t="str">
        <f t="shared" si="7"/>
        <v/>
      </c>
      <c r="P43" s="55">
        <f>DATE(Anno,8,5)</f>
        <v>45874</v>
      </c>
      <c r="Q43" s="51">
        <f t="shared" si="11"/>
        <v>45874</v>
      </c>
      <c r="R43" s="118"/>
      <c r="S43" s="139"/>
      <c r="T43" s="120"/>
      <c r="U43" s="120"/>
      <c r="V43" s="71">
        <f t="shared" si="8"/>
        <v>0</v>
      </c>
      <c r="X43" s="220"/>
      <c r="Y43" s="146"/>
      <c r="Z43" s="134"/>
      <c r="AA43" s="186"/>
      <c r="AB43" s="544" t="str">
        <f t="shared" si="9"/>
        <v/>
      </c>
    </row>
    <row r="44" spans="1:37" ht="13.35" customHeight="1" x14ac:dyDescent="0.2">
      <c r="A44">
        <v>2</v>
      </c>
      <c r="B44">
        <v>6</v>
      </c>
      <c r="C44" s="55">
        <f>DATE(Anno,2,6)</f>
        <v>45694</v>
      </c>
      <c r="D44" s="51">
        <f t="shared" si="10"/>
        <v>45694</v>
      </c>
      <c r="E44" s="118"/>
      <c r="F44" s="122"/>
      <c r="G44" s="120"/>
      <c r="H44" s="120"/>
      <c r="I44" s="76">
        <f t="shared" si="6"/>
        <v>0</v>
      </c>
      <c r="J44" s="70"/>
      <c r="K44" s="70"/>
      <c r="L44" s="131"/>
      <c r="M44" s="132"/>
      <c r="N44" s="196"/>
      <c r="O44" s="535" t="str">
        <f t="shared" si="7"/>
        <v/>
      </c>
      <c r="P44" s="55">
        <f>DATE(Anno,8,6)</f>
        <v>45875</v>
      </c>
      <c r="Q44" s="51">
        <f t="shared" si="11"/>
        <v>45875</v>
      </c>
      <c r="R44" s="118"/>
      <c r="S44" s="139"/>
      <c r="T44" s="120"/>
      <c r="U44" s="120"/>
      <c r="V44" s="71">
        <f t="shared" si="8"/>
        <v>0</v>
      </c>
      <c r="W44" s="71"/>
      <c r="X44" s="71"/>
      <c r="Y44" s="146"/>
      <c r="Z44" s="132"/>
      <c r="AA44" s="187"/>
      <c r="AB44" s="544" t="str">
        <f t="shared" si="9"/>
        <v/>
      </c>
    </row>
    <row r="45" spans="1:37" ht="13.35" customHeight="1" x14ac:dyDescent="0.2">
      <c r="A45">
        <v>2</v>
      </c>
      <c r="B45">
        <v>7</v>
      </c>
      <c r="C45" s="55">
        <f>DATE(Anno,2,7)</f>
        <v>45695</v>
      </c>
      <c r="D45" s="51">
        <f t="shared" si="10"/>
        <v>45695</v>
      </c>
      <c r="E45" s="118"/>
      <c r="F45" s="121"/>
      <c r="G45" s="120"/>
      <c r="H45" s="120"/>
      <c r="I45" s="76">
        <f t="shared" si="6"/>
        <v>0</v>
      </c>
      <c r="J45" s="70"/>
      <c r="K45" s="70"/>
      <c r="L45" s="131"/>
      <c r="M45" s="132"/>
      <c r="N45" s="196"/>
      <c r="O45" s="535" t="str">
        <f t="shared" si="7"/>
        <v/>
      </c>
      <c r="P45" s="55">
        <f>DATE(Anno,8,7)</f>
        <v>45876</v>
      </c>
      <c r="Q45" s="51">
        <f t="shared" si="11"/>
        <v>45876</v>
      </c>
      <c r="R45" s="118"/>
      <c r="S45" s="139"/>
      <c r="T45" s="120"/>
      <c r="U45" s="120"/>
      <c r="V45" s="71">
        <f t="shared" si="8"/>
        <v>0</v>
      </c>
      <c r="W45" s="77"/>
      <c r="X45" s="77"/>
      <c r="Y45" s="146"/>
      <c r="Z45" s="145"/>
      <c r="AA45" s="188"/>
      <c r="AB45" s="544" t="str">
        <f t="shared" si="9"/>
        <v/>
      </c>
    </row>
    <row r="46" spans="1:37" ht="13.35" customHeight="1" x14ac:dyDescent="0.2">
      <c r="A46">
        <v>2</v>
      </c>
      <c r="B46">
        <v>8</v>
      </c>
      <c r="C46" s="55">
        <f>DATE(Anno,2,8)</f>
        <v>45696</v>
      </c>
      <c r="D46" s="51">
        <f t="shared" si="10"/>
        <v>45696</v>
      </c>
      <c r="E46" s="118"/>
      <c r="F46" s="121"/>
      <c r="G46" s="120"/>
      <c r="H46" s="120"/>
      <c r="I46" s="76">
        <f t="shared" si="6"/>
        <v>0</v>
      </c>
      <c r="J46" s="70"/>
      <c r="K46" s="70"/>
      <c r="L46" s="131"/>
      <c r="M46" s="143"/>
      <c r="N46" s="196"/>
      <c r="O46" s="535" t="str">
        <f t="shared" si="7"/>
        <v/>
      </c>
      <c r="P46" s="55">
        <f>DATE(Anno,8,8)</f>
        <v>45877</v>
      </c>
      <c r="Q46" s="51">
        <f t="shared" si="11"/>
        <v>45877</v>
      </c>
      <c r="R46" s="118"/>
      <c r="S46" s="139"/>
      <c r="T46" s="120"/>
      <c r="U46" s="120"/>
      <c r="V46" s="71">
        <f t="shared" si="8"/>
        <v>0</v>
      </c>
      <c r="W46" s="77"/>
      <c r="X46" s="77"/>
      <c r="Y46" s="146"/>
      <c r="Z46" s="160"/>
      <c r="AA46" s="189"/>
      <c r="AB46" s="544" t="str">
        <f t="shared" si="9"/>
        <v/>
      </c>
      <c r="AF46" s="68"/>
    </row>
    <row r="47" spans="1:37" ht="13.35" customHeight="1" x14ac:dyDescent="0.2">
      <c r="A47">
        <v>2</v>
      </c>
      <c r="B47">
        <v>9</v>
      </c>
      <c r="C47" s="55">
        <f>DATE(Anno,2,9)</f>
        <v>45697</v>
      </c>
      <c r="D47" s="51">
        <f t="shared" si="10"/>
        <v>45697</v>
      </c>
      <c r="E47" s="118"/>
      <c r="F47" s="121"/>
      <c r="G47" s="120"/>
      <c r="H47" s="120"/>
      <c r="I47" s="76">
        <f t="shared" si="6"/>
        <v>0</v>
      </c>
      <c r="J47" s="70"/>
      <c r="K47" s="70"/>
      <c r="L47" s="131"/>
      <c r="M47" s="132"/>
      <c r="N47" s="196"/>
      <c r="O47" s="535" t="str">
        <f t="shared" si="7"/>
        <v/>
      </c>
      <c r="P47" s="55">
        <f>DATE(Anno,8,9)</f>
        <v>45878</v>
      </c>
      <c r="Q47" s="51">
        <f t="shared" si="11"/>
        <v>45878</v>
      </c>
      <c r="R47" s="118"/>
      <c r="S47" s="139"/>
      <c r="T47" s="120"/>
      <c r="U47" s="120"/>
      <c r="V47" s="71">
        <f t="shared" si="8"/>
        <v>0</v>
      </c>
      <c r="W47" s="77"/>
      <c r="X47" s="77"/>
      <c r="Y47" s="146"/>
      <c r="Z47" s="160"/>
      <c r="AA47" s="189"/>
      <c r="AB47" s="544" t="str">
        <f t="shared" si="9"/>
        <v/>
      </c>
    </row>
    <row r="48" spans="1:37" ht="13.35" customHeight="1" x14ac:dyDescent="0.2">
      <c r="A48">
        <v>2</v>
      </c>
      <c r="B48">
        <v>10</v>
      </c>
      <c r="C48" s="55">
        <f>DATE(Anno,2,10)</f>
        <v>45698</v>
      </c>
      <c r="D48" s="51">
        <f t="shared" si="10"/>
        <v>45698</v>
      </c>
      <c r="E48" s="118"/>
      <c r="F48" s="122"/>
      <c r="G48" s="120"/>
      <c r="H48" s="120"/>
      <c r="I48" s="76">
        <f t="shared" si="6"/>
        <v>0</v>
      </c>
      <c r="J48" s="70"/>
      <c r="K48" s="70"/>
      <c r="L48" s="131"/>
      <c r="M48" s="132"/>
      <c r="N48" s="196"/>
      <c r="O48" s="535" t="str">
        <f t="shared" si="7"/>
        <v/>
      </c>
      <c r="P48" s="55">
        <f>DATE(Anno,8,10)</f>
        <v>45879</v>
      </c>
      <c r="Q48" s="51">
        <f t="shared" si="11"/>
        <v>45879</v>
      </c>
      <c r="R48" s="118"/>
      <c r="S48" s="139"/>
      <c r="T48" s="120"/>
      <c r="U48" s="120"/>
      <c r="V48" s="71">
        <f t="shared" si="8"/>
        <v>0</v>
      </c>
      <c r="W48" s="77"/>
      <c r="X48" s="77"/>
      <c r="Y48" s="146"/>
      <c r="Z48" s="145"/>
      <c r="AA48" s="188"/>
      <c r="AB48" s="544" t="str">
        <f t="shared" si="9"/>
        <v/>
      </c>
    </row>
    <row r="49" spans="1:32" ht="13.35" customHeight="1" x14ac:dyDescent="0.2">
      <c r="A49">
        <v>2</v>
      </c>
      <c r="B49">
        <v>11</v>
      </c>
      <c r="C49" s="55">
        <f>DATE(Anno,2,11)</f>
        <v>45699</v>
      </c>
      <c r="D49" s="51">
        <f t="shared" si="10"/>
        <v>45699</v>
      </c>
      <c r="E49" s="118"/>
      <c r="F49" s="121"/>
      <c r="G49" s="120"/>
      <c r="H49" s="120"/>
      <c r="I49" s="76">
        <f t="shared" si="6"/>
        <v>0</v>
      </c>
      <c r="J49" s="73"/>
      <c r="K49" s="73"/>
      <c r="L49" s="133"/>
      <c r="M49" s="132"/>
      <c r="N49" s="196"/>
      <c r="O49" s="535" t="str">
        <f t="shared" si="7"/>
        <v/>
      </c>
      <c r="P49" s="55">
        <f>DATE(Anno,8,11)</f>
        <v>45880</v>
      </c>
      <c r="Q49" s="51">
        <f t="shared" si="11"/>
        <v>45880</v>
      </c>
      <c r="R49" s="118"/>
      <c r="S49" s="139"/>
      <c r="T49" s="120"/>
      <c r="U49" s="120"/>
      <c r="V49" s="71">
        <f t="shared" si="8"/>
        <v>0</v>
      </c>
      <c r="W49" s="70"/>
      <c r="X49" s="70"/>
      <c r="Y49" s="146"/>
      <c r="Z49" s="145"/>
      <c r="AA49" s="188"/>
      <c r="AB49" s="544" t="str">
        <f t="shared" si="9"/>
        <v/>
      </c>
    </row>
    <row r="50" spans="1:32" ht="13.35" customHeight="1" x14ac:dyDescent="0.2">
      <c r="A50">
        <v>2</v>
      </c>
      <c r="B50">
        <v>12</v>
      </c>
      <c r="C50" s="55">
        <f>DATE(Anno,2,12)</f>
        <v>45700</v>
      </c>
      <c r="D50" s="51">
        <f t="shared" si="10"/>
        <v>45700</v>
      </c>
      <c r="E50" s="118"/>
      <c r="F50" s="121"/>
      <c r="G50" s="120"/>
      <c r="H50" s="120"/>
      <c r="I50" s="76">
        <f t="shared" si="6"/>
        <v>0</v>
      </c>
      <c r="J50" s="73"/>
      <c r="K50" s="73"/>
      <c r="L50" s="133"/>
      <c r="M50" s="134"/>
      <c r="N50" s="196"/>
      <c r="O50" s="535" t="str">
        <f t="shared" si="7"/>
        <v/>
      </c>
      <c r="P50" s="55">
        <f>DATE(Anno,8,12)</f>
        <v>45881</v>
      </c>
      <c r="Q50" s="51">
        <f t="shared" si="11"/>
        <v>45881</v>
      </c>
      <c r="R50" s="118"/>
      <c r="S50" s="139"/>
      <c r="T50" s="120"/>
      <c r="U50" s="120"/>
      <c r="V50" s="71">
        <f t="shared" si="8"/>
        <v>0</v>
      </c>
      <c r="W50" s="77"/>
      <c r="X50" s="77"/>
      <c r="Y50" s="146"/>
      <c r="Z50" s="145"/>
      <c r="AA50" s="188"/>
      <c r="AB50" s="544" t="str">
        <f t="shared" si="9"/>
        <v/>
      </c>
      <c r="AF50" s="69"/>
    </row>
    <row r="51" spans="1:32" ht="13.35" customHeight="1" x14ac:dyDescent="0.2">
      <c r="A51">
        <v>2</v>
      </c>
      <c r="B51">
        <v>13</v>
      </c>
      <c r="C51" s="55">
        <f>DATE(Anno,2,13)</f>
        <v>45701</v>
      </c>
      <c r="D51" s="51">
        <f t="shared" si="10"/>
        <v>45701</v>
      </c>
      <c r="E51" s="118"/>
      <c r="F51" s="121"/>
      <c r="G51" s="120"/>
      <c r="H51" s="120"/>
      <c r="I51" s="76">
        <f t="shared" si="6"/>
        <v>0</v>
      </c>
      <c r="J51" s="70"/>
      <c r="K51" s="70"/>
      <c r="L51" s="131"/>
      <c r="M51" s="132"/>
      <c r="N51" s="196"/>
      <c r="O51" s="535" t="str">
        <f t="shared" si="7"/>
        <v/>
      </c>
      <c r="P51" s="55">
        <f>DATE(Anno,8,13)</f>
        <v>45882</v>
      </c>
      <c r="Q51" s="51">
        <f t="shared" si="11"/>
        <v>45882</v>
      </c>
      <c r="R51" s="118"/>
      <c r="S51" s="139"/>
      <c r="T51" s="120"/>
      <c r="U51" s="120"/>
      <c r="V51" s="71">
        <f t="shared" si="8"/>
        <v>0</v>
      </c>
      <c r="W51" s="77"/>
      <c r="X51" s="77"/>
      <c r="Y51" s="146"/>
      <c r="Z51" s="145"/>
      <c r="AA51" s="188"/>
      <c r="AB51" s="544" t="str">
        <f t="shared" si="9"/>
        <v/>
      </c>
    </row>
    <row r="52" spans="1:32" ht="13.35" customHeight="1" x14ac:dyDescent="0.2">
      <c r="A52">
        <v>2</v>
      </c>
      <c r="B52">
        <v>14</v>
      </c>
      <c r="C52" s="55">
        <f>DATE(Anno,2,14)</f>
        <v>45702</v>
      </c>
      <c r="D52" s="51">
        <f t="shared" si="10"/>
        <v>45702</v>
      </c>
      <c r="E52" s="118"/>
      <c r="F52" s="121"/>
      <c r="G52" s="120"/>
      <c r="H52" s="120"/>
      <c r="I52" s="76">
        <f t="shared" si="6"/>
        <v>0</v>
      </c>
      <c r="J52" s="70"/>
      <c r="K52" s="70"/>
      <c r="L52" s="131"/>
      <c r="M52" s="134"/>
      <c r="N52" s="196"/>
      <c r="O52" s="535" t="str">
        <f t="shared" si="7"/>
        <v/>
      </c>
      <c r="P52" s="55">
        <f>DATE(Anno,8,14)</f>
        <v>45883</v>
      </c>
      <c r="Q52" s="51">
        <f t="shared" si="11"/>
        <v>45883</v>
      </c>
      <c r="R52" s="118"/>
      <c r="S52" s="139"/>
      <c r="T52" s="120"/>
      <c r="U52" s="120"/>
      <c r="V52" s="71">
        <f t="shared" si="8"/>
        <v>0</v>
      </c>
      <c r="W52" s="77"/>
      <c r="X52" s="77"/>
      <c r="Y52" s="146"/>
      <c r="Z52" s="134"/>
      <c r="AA52" s="186"/>
      <c r="AB52" s="544" t="str">
        <f t="shared" si="9"/>
        <v/>
      </c>
      <c r="AF52" s="68"/>
    </row>
    <row r="53" spans="1:32" ht="13.35" customHeight="1" x14ac:dyDescent="0.2">
      <c r="A53">
        <v>2</v>
      </c>
      <c r="B53">
        <v>15</v>
      </c>
      <c r="C53" s="55">
        <f>DATE(Anno,2,15)</f>
        <v>45703</v>
      </c>
      <c r="D53" s="51">
        <f t="shared" si="10"/>
        <v>45703</v>
      </c>
      <c r="E53" s="118"/>
      <c r="F53" s="121"/>
      <c r="G53" s="120"/>
      <c r="H53" s="120"/>
      <c r="I53" s="76">
        <f t="shared" si="6"/>
        <v>0</v>
      </c>
      <c r="J53" s="70"/>
      <c r="K53" s="70"/>
      <c r="L53" s="131"/>
      <c r="M53" s="134"/>
      <c r="N53" s="196"/>
      <c r="O53" s="535" t="str">
        <f t="shared" si="7"/>
        <v/>
      </c>
      <c r="P53" s="55">
        <f>DATE(Anno,8,15)</f>
        <v>45884</v>
      </c>
      <c r="Q53" s="51">
        <f t="shared" si="11"/>
        <v>45884</v>
      </c>
      <c r="R53" s="118"/>
      <c r="S53" s="139"/>
      <c r="T53" s="120"/>
      <c r="U53" s="120"/>
      <c r="V53" s="71">
        <f t="shared" si="8"/>
        <v>0</v>
      </c>
      <c r="W53" s="83"/>
      <c r="X53" s="83"/>
      <c r="Y53" s="144"/>
      <c r="Z53" s="134"/>
      <c r="AA53" s="186"/>
      <c r="AB53" s="544" t="str">
        <f t="shared" si="9"/>
        <v/>
      </c>
    </row>
    <row r="54" spans="1:32" ht="13.35" customHeight="1" x14ac:dyDescent="0.2">
      <c r="A54">
        <v>2</v>
      </c>
      <c r="B54">
        <v>16</v>
      </c>
      <c r="C54" s="55">
        <f>DATE(Anno,2,16)</f>
        <v>45704</v>
      </c>
      <c r="D54" s="51">
        <f t="shared" si="10"/>
        <v>45704</v>
      </c>
      <c r="E54" s="118"/>
      <c r="F54" s="121"/>
      <c r="G54" s="120"/>
      <c r="H54" s="120"/>
      <c r="I54" s="76">
        <f t="shared" si="6"/>
        <v>0</v>
      </c>
      <c r="J54" s="70"/>
      <c r="K54" s="70"/>
      <c r="L54" s="131"/>
      <c r="M54" s="134"/>
      <c r="N54" s="196"/>
      <c r="O54" s="535" t="str">
        <f t="shared" si="7"/>
        <v/>
      </c>
      <c r="P54" s="55">
        <f>DATE(Anno,8,16)</f>
        <v>45885</v>
      </c>
      <c r="Q54" s="51">
        <f t="shared" si="11"/>
        <v>45885</v>
      </c>
      <c r="R54" s="118"/>
      <c r="S54" s="139"/>
      <c r="T54" s="120"/>
      <c r="U54" s="120"/>
      <c r="V54" s="71">
        <f t="shared" si="8"/>
        <v>0</v>
      </c>
      <c r="W54" s="83"/>
      <c r="X54" s="83"/>
      <c r="Y54" s="144"/>
      <c r="Z54" s="134"/>
      <c r="AA54" s="186"/>
      <c r="AB54" s="544" t="str">
        <f t="shared" si="9"/>
        <v/>
      </c>
    </row>
    <row r="55" spans="1:32" ht="13.35" customHeight="1" x14ac:dyDescent="0.2">
      <c r="A55">
        <v>2</v>
      </c>
      <c r="B55">
        <v>17</v>
      </c>
      <c r="C55" s="55">
        <f>DATE(Anno,2,17)</f>
        <v>45705</v>
      </c>
      <c r="D55" s="51">
        <f t="shared" si="10"/>
        <v>45705</v>
      </c>
      <c r="E55" s="118"/>
      <c r="F55" s="122"/>
      <c r="G55" s="120"/>
      <c r="H55" s="120"/>
      <c r="I55" s="76">
        <f t="shared" si="6"/>
        <v>0</v>
      </c>
      <c r="J55" s="70"/>
      <c r="K55" s="70"/>
      <c r="L55" s="131"/>
      <c r="M55" s="132"/>
      <c r="N55" s="196"/>
      <c r="O55" s="535" t="str">
        <f t="shared" si="7"/>
        <v/>
      </c>
      <c r="P55" s="55">
        <f>DATE(Anno,8,17)</f>
        <v>45886</v>
      </c>
      <c r="Q55" s="51">
        <f t="shared" si="11"/>
        <v>45886</v>
      </c>
      <c r="R55" s="118"/>
      <c r="S55" s="139"/>
      <c r="T55" s="120"/>
      <c r="U55" s="120"/>
      <c r="V55" s="71">
        <f t="shared" si="8"/>
        <v>0</v>
      </c>
      <c r="W55" s="83"/>
      <c r="X55" s="83"/>
      <c r="Y55" s="144"/>
      <c r="Z55" s="134"/>
      <c r="AA55" s="186"/>
      <c r="AB55" s="544" t="str">
        <f t="shared" si="9"/>
        <v/>
      </c>
    </row>
    <row r="56" spans="1:32" ht="13.35" customHeight="1" x14ac:dyDescent="0.2">
      <c r="A56">
        <v>2</v>
      </c>
      <c r="B56">
        <v>18</v>
      </c>
      <c r="C56" s="55">
        <f>DATE(Anno,2,18)</f>
        <v>45706</v>
      </c>
      <c r="D56" s="51">
        <f t="shared" si="10"/>
        <v>45706</v>
      </c>
      <c r="E56" s="118"/>
      <c r="F56" s="123"/>
      <c r="G56" s="120"/>
      <c r="H56" s="120"/>
      <c r="I56" s="76">
        <f t="shared" si="6"/>
        <v>0</v>
      </c>
      <c r="J56" s="70"/>
      <c r="K56" s="70"/>
      <c r="L56" s="131"/>
      <c r="M56" s="132"/>
      <c r="N56" s="196"/>
      <c r="O56" s="535" t="str">
        <f t="shared" si="7"/>
        <v/>
      </c>
      <c r="P56" s="55">
        <f>DATE(Anno,8,18)</f>
        <v>45887</v>
      </c>
      <c r="Q56" s="51">
        <f t="shared" si="11"/>
        <v>45887</v>
      </c>
      <c r="R56" s="118"/>
      <c r="S56" s="139"/>
      <c r="T56" s="120"/>
      <c r="U56" s="120"/>
      <c r="V56" s="71">
        <f t="shared" si="8"/>
        <v>0</v>
      </c>
      <c r="W56" s="70"/>
      <c r="X56" s="70"/>
      <c r="Y56" s="146"/>
      <c r="Z56" s="134"/>
      <c r="AA56" s="186"/>
      <c r="AB56" s="544" t="str">
        <f t="shared" si="9"/>
        <v/>
      </c>
    </row>
    <row r="57" spans="1:32" ht="13.35" customHeight="1" x14ac:dyDescent="0.2">
      <c r="A57">
        <v>2</v>
      </c>
      <c r="B57">
        <v>19</v>
      </c>
      <c r="C57" s="55">
        <f>DATE(Anno,2,19)</f>
        <v>45707</v>
      </c>
      <c r="D57" s="51">
        <f t="shared" si="10"/>
        <v>45707</v>
      </c>
      <c r="E57" s="118"/>
      <c r="F57" s="123"/>
      <c r="G57" s="120"/>
      <c r="H57" s="120"/>
      <c r="I57" s="76">
        <f t="shared" si="6"/>
        <v>0</v>
      </c>
      <c r="J57" s="70"/>
      <c r="K57" s="70"/>
      <c r="L57" s="131"/>
      <c r="M57" s="132"/>
      <c r="N57" s="196"/>
      <c r="O57" s="535" t="str">
        <f t="shared" si="7"/>
        <v/>
      </c>
      <c r="P57" s="55">
        <f>DATE(Anno,8,19)</f>
        <v>45888</v>
      </c>
      <c r="Q57" s="51">
        <f t="shared" si="11"/>
        <v>45888</v>
      </c>
      <c r="R57" s="118"/>
      <c r="S57" s="139"/>
      <c r="T57" s="120"/>
      <c r="U57" s="120"/>
      <c r="V57" s="71">
        <f t="shared" si="8"/>
        <v>0</v>
      </c>
      <c r="W57" s="77"/>
      <c r="X57" s="77"/>
      <c r="Y57" s="146"/>
      <c r="Z57" s="145"/>
      <c r="AA57" s="188"/>
      <c r="AB57" s="544" t="str">
        <f t="shared" si="9"/>
        <v/>
      </c>
      <c r="AF57" s="45"/>
    </row>
    <row r="58" spans="1:32" ht="13.35" customHeight="1" x14ac:dyDescent="0.2">
      <c r="A58">
        <v>2</v>
      </c>
      <c r="B58">
        <v>20</v>
      </c>
      <c r="C58" s="55">
        <f>DATE(Anno,2,20)</f>
        <v>45708</v>
      </c>
      <c r="D58" s="51">
        <f t="shared" si="10"/>
        <v>45708</v>
      </c>
      <c r="E58" s="118"/>
      <c r="F58" s="123"/>
      <c r="G58" s="120"/>
      <c r="H58" s="120"/>
      <c r="I58" s="76">
        <f t="shared" si="6"/>
        <v>0</v>
      </c>
      <c r="J58" s="70"/>
      <c r="K58" s="70"/>
      <c r="L58" s="131"/>
      <c r="M58" s="132"/>
      <c r="N58" s="196"/>
      <c r="O58" s="535" t="str">
        <f t="shared" si="7"/>
        <v/>
      </c>
      <c r="P58" s="55">
        <f>DATE(Anno,8,20)</f>
        <v>45889</v>
      </c>
      <c r="Q58" s="51">
        <f t="shared" si="11"/>
        <v>45889</v>
      </c>
      <c r="R58" s="118"/>
      <c r="S58" s="139"/>
      <c r="T58" s="120"/>
      <c r="U58" s="120"/>
      <c r="V58" s="71">
        <f t="shared" si="8"/>
        <v>0</v>
      </c>
      <c r="W58" s="83"/>
      <c r="X58" s="83"/>
      <c r="Y58" s="144"/>
      <c r="Z58" s="145"/>
      <c r="AA58" s="188"/>
      <c r="AB58" s="544" t="str">
        <f t="shared" si="9"/>
        <v/>
      </c>
    </row>
    <row r="59" spans="1:32" ht="13.35" customHeight="1" x14ac:dyDescent="0.2">
      <c r="A59">
        <v>2</v>
      </c>
      <c r="B59">
        <v>21</v>
      </c>
      <c r="C59" s="55">
        <f>DATE(Anno,2,21)</f>
        <v>45709</v>
      </c>
      <c r="D59" s="51">
        <f t="shared" si="10"/>
        <v>45709</v>
      </c>
      <c r="E59" s="118"/>
      <c r="F59" s="123"/>
      <c r="G59" s="120"/>
      <c r="H59" s="120"/>
      <c r="I59" s="76">
        <f t="shared" si="6"/>
        <v>0</v>
      </c>
      <c r="J59" s="70"/>
      <c r="K59" s="70"/>
      <c r="L59" s="131"/>
      <c r="M59" s="132"/>
      <c r="N59" s="196"/>
      <c r="O59" s="535" t="str">
        <f t="shared" si="7"/>
        <v/>
      </c>
      <c r="P59" s="55">
        <f>DATE(Anno,8,21)</f>
        <v>45890</v>
      </c>
      <c r="Q59" s="51">
        <f t="shared" si="11"/>
        <v>45890</v>
      </c>
      <c r="R59" s="118"/>
      <c r="S59" s="139"/>
      <c r="T59" s="120"/>
      <c r="U59" s="120"/>
      <c r="V59" s="71">
        <f t="shared" si="8"/>
        <v>0</v>
      </c>
      <c r="W59" s="83"/>
      <c r="X59" s="83"/>
      <c r="Y59" s="144"/>
      <c r="Z59" s="145"/>
      <c r="AA59" s="188"/>
      <c r="AB59" s="544" t="str">
        <f t="shared" si="9"/>
        <v/>
      </c>
    </row>
    <row r="60" spans="1:32" ht="13.35" customHeight="1" x14ac:dyDescent="0.2">
      <c r="A60">
        <v>2</v>
      </c>
      <c r="B60">
        <v>22</v>
      </c>
      <c r="C60" s="55">
        <f>DATE(Anno,2,22)</f>
        <v>45710</v>
      </c>
      <c r="D60" s="51">
        <f t="shared" si="10"/>
        <v>45710</v>
      </c>
      <c r="E60" s="118"/>
      <c r="F60" s="121"/>
      <c r="G60" s="120"/>
      <c r="H60" s="120"/>
      <c r="I60" s="76">
        <f t="shared" si="6"/>
        <v>0</v>
      </c>
      <c r="J60" s="70"/>
      <c r="K60" s="70"/>
      <c r="L60" s="131"/>
      <c r="M60" s="132"/>
      <c r="N60" s="196"/>
      <c r="O60" s="535" t="str">
        <f t="shared" si="7"/>
        <v/>
      </c>
      <c r="P60" s="55">
        <f>DATE(Anno,8,22)</f>
        <v>45891</v>
      </c>
      <c r="Q60" s="51">
        <f t="shared" si="11"/>
        <v>45891</v>
      </c>
      <c r="R60" s="118"/>
      <c r="S60" s="139"/>
      <c r="T60" s="120"/>
      <c r="U60" s="120"/>
      <c r="V60" s="71">
        <f t="shared" si="8"/>
        <v>0</v>
      </c>
      <c r="W60" s="83"/>
      <c r="X60" s="83"/>
      <c r="Y60" s="144"/>
      <c r="Z60" s="160"/>
      <c r="AA60" s="189"/>
      <c r="AB60" s="544" t="str">
        <f t="shared" si="9"/>
        <v/>
      </c>
    </row>
    <row r="61" spans="1:32" ht="13.35" customHeight="1" x14ac:dyDescent="0.2">
      <c r="A61">
        <v>2</v>
      </c>
      <c r="B61">
        <v>23</v>
      </c>
      <c r="C61" s="55">
        <f>DATE(Anno,2,23)</f>
        <v>45711</v>
      </c>
      <c r="D61" s="51">
        <f t="shared" si="10"/>
        <v>45711</v>
      </c>
      <c r="E61" s="118"/>
      <c r="F61" s="121"/>
      <c r="G61" s="120"/>
      <c r="H61" s="120"/>
      <c r="I61" s="76">
        <f t="shared" si="6"/>
        <v>0</v>
      </c>
      <c r="J61" s="70"/>
      <c r="K61" s="70"/>
      <c r="L61" s="131"/>
      <c r="M61" s="132"/>
      <c r="N61" s="196"/>
      <c r="O61" s="535" t="str">
        <f t="shared" si="7"/>
        <v/>
      </c>
      <c r="P61" s="55">
        <f>DATE(Anno,8,23)</f>
        <v>45892</v>
      </c>
      <c r="Q61" s="51">
        <f t="shared" si="11"/>
        <v>45892</v>
      </c>
      <c r="R61" s="118"/>
      <c r="S61" s="139"/>
      <c r="T61" s="120"/>
      <c r="U61" s="120"/>
      <c r="V61" s="71">
        <f t="shared" si="8"/>
        <v>0</v>
      </c>
      <c r="W61" s="83"/>
      <c r="X61" s="83"/>
      <c r="Y61" s="144"/>
      <c r="Z61" s="160"/>
      <c r="AA61" s="189"/>
      <c r="AB61" s="544" t="str">
        <f t="shared" si="9"/>
        <v/>
      </c>
    </row>
    <row r="62" spans="1:32" ht="13.35" customHeight="1" x14ac:dyDescent="0.25">
      <c r="A62">
        <v>2</v>
      </c>
      <c r="B62">
        <v>24</v>
      </c>
      <c r="C62" s="55">
        <f>DATE(Anno,2,24)</f>
        <v>45712</v>
      </c>
      <c r="D62" s="51">
        <f t="shared" si="10"/>
        <v>45712</v>
      </c>
      <c r="E62" s="118"/>
      <c r="F62" s="121"/>
      <c r="G62" s="120"/>
      <c r="H62" s="120"/>
      <c r="I62" s="76">
        <f t="shared" si="6"/>
        <v>0</v>
      </c>
      <c r="J62" s="70"/>
      <c r="K62" s="70"/>
      <c r="L62" s="131"/>
      <c r="M62" s="132"/>
      <c r="N62" s="196"/>
      <c r="O62" s="535" t="str">
        <f t="shared" si="7"/>
        <v/>
      </c>
      <c r="P62" s="55">
        <f>DATE(Anno,8,24)</f>
        <v>45893</v>
      </c>
      <c r="Q62" s="51">
        <f t="shared" si="11"/>
        <v>45893</v>
      </c>
      <c r="R62" s="118"/>
      <c r="S62" s="139"/>
      <c r="T62" s="157"/>
      <c r="U62" s="157"/>
      <c r="V62" s="71">
        <f t="shared" si="8"/>
        <v>0</v>
      </c>
      <c r="W62" s="83"/>
      <c r="X62" s="83"/>
      <c r="Y62" s="144"/>
      <c r="Z62" s="161"/>
      <c r="AA62" s="190"/>
      <c r="AB62" s="544" t="str">
        <f t="shared" si="9"/>
        <v/>
      </c>
    </row>
    <row r="63" spans="1:32" ht="13.35" customHeight="1" x14ac:dyDescent="0.2">
      <c r="A63">
        <v>2</v>
      </c>
      <c r="B63">
        <v>25</v>
      </c>
      <c r="C63" s="55">
        <f>DATE(Anno,2,25)</f>
        <v>45713</v>
      </c>
      <c r="D63" s="51">
        <f t="shared" si="10"/>
        <v>45713</v>
      </c>
      <c r="E63" s="118"/>
      <c r="F63" s="121"/>
      <c r="G63" s="120"/>
      <c r="H63" s="120"/>
      <c r="I63" s="76">
        <f t="shared" si="6"/>
        <v>0</v>
      </c>
      <c r="J63" s="70"/>
      <c r="K63" s="70"/>
      <c r="L63" s="131"/>
      <c r="M63" s="132"/>
      <c r="N63" s="196"/>
      <c r="O63" s="535" t="str">
        <f t="shared" si="7"/>
        <v/>
      </c>
      <c r="P63" s="55">
        <f>DATE(Anno,8,25)</f>
        <v>45894</v>
      </c>
      <c r="Q63" s="51">
        <f t="shared" si="11"/>
        <v>45894</v>
      </c>
      <c r="R63" s="118"/>
      <c r="S63" s="139"/>
      <c r="T63" s="120"/>
      <c r="U63" s="120"/>
      <c r="V63" s="71">
        <f t="shared" si="8"/>
        <v>0</v>
      </c>
      <c r="W63" s="70"/>
      <c r="X63" s="70"/>
      <c r="Y63" s="144"/>
      <c r="Z63" s="145"/>
      <c r="AA63" s="188"/>
      <c r="AB63" s="544" t="str">
        <f t="shared" si="9"/>
        <v/>
      </c>
    </row>
    <row r="64" spans="1:32" ht="13.35" customHeight="1" x14ac:dyDescent="0.2">
      <c r="A64">
        <v>2</v>
      </c>
      <c r="B64">
        <v>26</v>
      </c>
      <c r="C64" s="55">
        <f>DATE(Anno,2,26)</f>
        <v>45714</v>
      </c>
      <c r="D64" s="51">
        <f t="shared" si="10"/>
        <v>45714</v>
      </c>
      <c r="E64" s="118"/>
      <c r="F64" s="121"/>
      <c r="G64" s="120"/>
      <c r="H64" s="120"/>
      <c r="I64" s="76">
        <f t="shared" si="6"/>
        <v>0</v>
      </c>
      <c r="J64" s="70"/>
      <c r="K64" s="70"/>
      <c r="L64" s="131"/>
      <c r="M64" s="132"/>
      <c r="N64" s="196"/>
      <c r="O64" s="535" t="str">
        <f t="shared" si="7"/>
        <v/>
      </c>
      <c r="P64" s="55">
        <f>DATE(Anno,8,26)</f>
        <v>45895</v>
      </c>
      <c r="Q64" s="51">
        <f t="shared" si="11"/>
        <v>45895</v>
      </c>
      <c r="R64" s="118"/>
      <c r="S64" s="139"/>
      <c r="T64" s="120"/>
      <c r="U64" s="120"/>
      <c r="V64" s="71">
        <f t="shared" si="8"/>
        <v>0</v>
      </c>
      <c r="W64" s="77"/>
      <c r="X64" s="77"/>
      <c r="Y64" s="146"/>
      <c r="Z64" s="145"/>
      <c r="AA64" s="188"/>
      <c r="AB64" s="544" t="str">
        <f t="shared" si="9"/>
        <v/>
      </c>
    </row>
    <row r="65" spans="1:28" ht="13.35" customHeight="1" x14ac:dyDescent="0.2">
      <c r="A65">
        <v>2</v>
      </c>
      <c r="B65">
        <v>27</v>
      </c>
      <c r="C65" s="55">
        <f>DATE(Anno,2,27)</f>
        <v>45715</v>
      </c>
      <c r="D65" s="51">
        <f t="shared" si="10"/>
        <v>45715</v>
      </c>
      <c r="E65" s="118"/>
      <c r="F65" s="121"/>
      <c r="G65" s="120"/>
      <c r="H65" s="120"/>
      <c r="I65" s="76">
        <f t="shared" si="6"/>
        <v>0</v>
      </c>
      <c r="J65" s="73"/>
      <c r="K65" s="73"/>
      <c r="L65" s="133"/>
      <c r="M65" s="132"/>
      <c r="N65" s="196"/>
      <c r="O65" s="535" t="str">
        <f t="shared" si="7"/>
        <v/>
      </c>
      <c r="P65" s="55">
        <f>DATE(Anno,8,27)</f>
        <v>45896</v>
      </c>
      <c r="Q65" s="51">
        <f t="shared" si="11"/>
        <v>45896</v>
      </c>
      <c r="R65" s="118"/>
      <c r="S65" s="139"/>
      <c r="T65" s="120"/>
      <c r="U65" s="120"/>
      <c r="V65" s="71">
        <f t="shared" si="8"/>
        <v>0</v>
      </c>
      <c r="W65" s="83"/>
      <c r="X65" s="83"/>
      <c r="Y65" s="144"/>
      <c r="Z65" s="145"/>
      <c r="AA65" s="188"/>
      <c r="AB65" s="544" t="str">
        <f t="shared" si="9"/>
        <v/>
      </c>
    </row>
    <row r="66" spans="1:28" ht="13.35" customHeight="1" thickBot="1" x14ac:dyDescent="0.3">
      <c r="A66">
        <v>2</v>
      </c>
      <c r="B66">
        <v>28</v>
      </c>
      <c r="C66" s="55">
        <f>DATE(Anno,2,28)</f>
        <v>45716</v>
      </c>
      <c r="D66" s="51">
        <f t="shared" si="10"/>
        <v>45716</v>
      </c>
      <c r="E66" s="118"/>
      <c r="F66" s="121"/>
      <c r="G66" s="120"/>
      <c r="H66" s="120"/>
      <c r="I66" s="76">
        <f t="shared" si="6"/>
        <v>0</v>
      </c>
      <c r="J66" s="70"/>
      <c r="K66" s="73" t="s">
        <v>153</v>
      </c>
      <c r="L66" s="133"/>
      <c r="M66" s="132"/>
      <c r="N66" s="196"/>
      <c r="O66" s="535" t="str">
        <f t="shared" si="7"/>
        <v/>
      </c>
      <c r="P66" s="55">
        <f>DATE(Anno,8,28)</f>
        <v>45897</v>
      </c>
      <c r="Q66" s="51">
        <f t="shared" si="11"/>
        <v>45897</v>
      </c>
      <c r="R66" s="118"/>
      <c r="S66" s="139"/>
      <c r="T66" s="157"/>
      <c r="U66" s="157"/>
      <c r="V66" s="71">
        <f t="shared" si="8"/>
        <v>0</v>
      </c>
      <c r="W66" s="83"/>
      <c r="X66" s="83"/>
      <c r="Y66" s="144"/>
      <c r="Z66" s="161"/>
      <c r="AA66" s="190"/>
      <c r="AB66" s="544" t="str">
        <f t="shared" si="9"/>
        <v/>
      </c>
    </row>
    <row r="67" spans="1:28" ht="13.35" customHeight="1" thickBot="1" x14ac:dyDescent="0.3">
      <c r="A67">
        <v>2</v>
      </c>
      <c r="B67">
        <v>29</v>
      </c>
      <c r="C67" s="55" t="str">
        <f>IF(DAY(DATE(Anno,2,29))=29,DATE(Anno,2,29),"")</f>
        <v/>
      </c>
      <c r="D67" s="51" t="str">
        <f>C67</f>
        <v/>
      </c>
      <c r="E67" s="118"/>
      <c r="F67" s="122"/>
      <c r="G67" s="120"/>
      <c r="H67" s="120"/>
      <c r="I67" s="76" t="str">
        <f t="shared" si="6"/>
        <v/>
      </c>
      <c r="J67" s="494" t="s">
        <v>131</v>
      </c>
      <c r="K67" s="270">
        <f>ROUNDDOWN((28*38)/7,0)</f>
        <v>152</v>
      </c>
      <c r="L67" s="131"/>
      <c r="M67" s="132"/>
      <c r="N67" s="196"/>
      <c r="O67" s="535" t="str">
        <f t="shared" si="7"/>
        <v/>
      </c>
      <c r="P67" s="55">
        <f>DATE(Anno,8,29)</f>
        <v>45898</v>
      </c>
      <c r="Q67" s="51">
        <f t="shared" si="11"/>
        <v>45898</v>
      </c>
      <c r="R67" s="118"/>
      <c r="S67" s="139"/>
      <c r="T67" s="157"/>
      <c r="U67" s="157"/>
      <c r="V67" s="71">
        <f t="shared" si="8"/>
        <v>0</v>
      </c>
      <c r="W67" s="494" t="s">
        <v>131</v>
      </c>
      <c r="X67" s="211"/>
      <c r="Y67" s="144"/>
      <c r="Z67" s="161"/>
      <c r="AA67" s="190"/>
      <c r="AB67" s="544" t="str">
        <f t="shared" si="9"/>
        <v/>
      </c>
    </row>
    <row r="68" spans="1:28" ht="13.35" customHeight="1" thickBot="1" x14ac:dyDescent="0.3">
      <c r="A68">
        <v>2</v>
      </c>
      <c r="B68">
        <v>30</v>
      </c>
      <c r="C68" s="55"/>
      <c r="D68" s="51"/>
      <c r="E68" s="118"/>
      <c r="F68" s="152"/>
      <c r="G68" s="120"/>
      <c r="H68" s="120"/>
      <c r="I68" s="77" t="str">
        <f t="shared" si="6"/>
        <v/>
      </c>
      <c r="J68" s="496"/>
      <c r="K68" s="264" t="s">
        <v>154</v>
      </c>
      <c r="L68" s="146"/>
      <c r="M68" s="154"/>
      <c r="N68" s="196"/>
      <c r="O68" s="535" t="str">
        <f t="shared" si="7"/>
        <v/>
      </c>
      <c r="P68" s="55">
        <f>DATE(Anno,8,30)</f>
        <v>45899</v>
      </c>
      <c r="Q68" s="51">
        <f t="shared" si="11"/>
        <v>45899</v>
      </c>
      <c r="R68" s="118"/>
      <c r="S68" s="139"/>
      <c r="T68" s="157"/>
      <c r="U68" s="157"/>
      <c r="V68" s="71">
        <f t="shared" si="8"/>
        <v>0</v>
      </c>
      <c r="W68" s="496"/>
      <c r="X68" s="214"/>
      <c r="Y68" s="144"/>
      <c r="Z68" s="161"/>
      <c r="AA68" s="190"/>
      <c r="AB68" s="544" t="str">
        <f t="shared" si="9"/>
        <v/>
      </c>
    </row>
    <row r="69" spans="1:28" ht="13.35" customHeight="1" thickBot="1" x14ac:dyDescent="0.3">
      <c r="A69">
        <v>2</v>
      </c>
      <c r="B69">
        <v>31</v>
      </c>
      <c r="C69" s="56"/>
      <c r="D69" s="57"/>
      <c r="E69" s="124"/>
      <c r="F69" s="153"/>
      <c r="G69" s="126"/>
      <c r="H69" s="126"/>
      <c r="I69" s="78" t="str">
        <f t="shared" si="6"/>
        <v/>
      </c>
      <c r="J69" s="212">
        <f>SUM(I39:I69)</f>
        <v>0</v>
      </c>
      <c r="K69" s="269">
        <f>ROUNDUP((29*38)/7,0)</f>
        <v>158</v>
      </c>
      <c r="L69" s="215"/>
      <c r="M69" s="155"/>
      <c r="N69" s="197"/>
      <c r="O69" s="535" t="str">
        <f t="shared" si="7"/>
        <v/>
      </c>
      <c r="P69" s="56">
        <f>DATE(Anno,8,31)</f>
        <v>45900</v>
      </c>
      <c r="Q69" s="57">
        <f t="shared" si="11"/>
        <v>45900</v>
      </c>
      <c r="R69" s="124"/>
      <c r="S69" s="141"/>
      <c r="T69" s="158"/>
      <c r="U69" s="158"/>
      <c r="V69" s="229">
        <f t="shared" si="8"/>
        <v>0</v>
      </c>
      <c r="W69" s="250">
        <f>SUM(V39:V69)</f>
        <v>0</v>
      </c>
      <c r="X69" s="269">
        <f>ROUNDDOWN((31*38)/7,0)</f>
        <v>168</v>
      </c>
      <c r="Y69" s="148"/>
      <c r="Z69" s="162"/>
      <c r="AA69" s="258"/>
      <c r="AB69" s="549" t="str">
        <f t="shared" si="9"/>
        <v/>
      </c>
    </row>
    <row r="70" spans="1:28" ht="13.35" customHeight="1" thickBot="1" x14ac:dyDescent="0.25">
      <c r="C70" s="488"/>
      <c r="D70" s="489"/>
      <c r="E70" s="489"/>
      <c r="F70" s="489"/>
      <c r="G70" s="489"/>
      <c r="H70" s="489"/>
      <c r="I70" s="489"/>
      <c r="J70" s="79"/>
      <c r="K70" s="79"/>
      <c r="L70" s="79"/>
      <c r="M70" s="67"/>
      <c r="N70" s="263" t="s">
        <v>188</v>
      </c>
      <c r="O70" s="539">
        <f>COUNTIF(O39:O69,"1")</f>
        <v>0</v>
      </c>
      <c r="P70" s="490"/>
      <c r="Q70" s="490"/>
      <c r="R70" s="490"/>
      <c r="S70" s="490"/>
      <c r="T70" s="490"/>
      <c r="U70" s="490"/>
      <c r="V70" s="490"/>
      <c r="W70" s="85"/>
      <c r="X70" s="85"/>
      <c r="Y70" s="85"/>
      <c r="Z70" s="67"/>
      <c r="AA70" s="263" t="s">
        <v>188</v>
      </c>
      <c r="AB70" s="550">
        <f>COUNTIF(AB39:AB69,"1")</f>
        <v>0</v>
      </c>
    </row>
    <row r="71" spans="1:28" s="35" customFormat="1" ht="25.35" customHeight="1" thickBot="1" x14ac:dyDescent="0.25">
      <c r="C71" s="238" t="s">
        <v>5</v>
      </c>
      <c r="D71" s="239"/>
      <c r="E71" s="239"/>
      <c r="F71" s="239"/>
      <c r="G71" s="239"/>
      <c r="H71" s="239"/>
      <c r="I71" s="239"/>
      <c r="J71" s="239"/>
      <c r="K71" s="239"/>
      <c r="L71" s="239"/>
      <c r="M71" s="237"/>
      <c r="N71" s="237"/>
      <c r="O71" s="532"/>
      <c r="P71" s="261" t="s">
        <v>11</v>
      </c>
      <c r="Q71" s="261"/>
      <c r="R71" s="261"/>
      <c r="S71" s="261"/>
      <c r="T71" s="261"/>
      <c r="U71" s="261"/>
      <c r="V71" s="261"/>
      <c r="W71" s="261"/>
      <c r="X71" s="261"/>
      <c r="Y71" s="261"/>
      <c r="Z71" s="259"/>
      <c r="AA71" s="259"/>
      <c r="AB71" s="542"/>
    </row>
    <row r="72" spans="1:28" ht="13.35" customHeight="1" thickBot="1" x14ac:dyDescent="0.25">
      <c r="C72" s="499" t="s">
        <v>112</v>
      </c>
      <c r="D72" s="501" t="s">
        <v>100</v>
      </c>
      <c r="E72" s="503" t="s">
        <v>104</v>
      </c>
      <c r="F72" s="491" t="s">
        <v>101</v>
      </c>
      <c r="G72" s="240" t="s">
        <v>129</v>
      </c>
      <c r="H72" s="242"/>
      <c r="I72" s="494" t="s">
        <v>130</v>
      </c>
      <c r="J72" s="513" t="s">
        <v>131</v>
      </c>
      <c r="K72" s="494" t="s">
        <v>152</v>
      </c>
      <c r="L72" s="513" t="s">
        <v>132</v>
      </c>
      <c r="M72" s="497" t="s">
        <v>129</v>
      </c>
      <c r="N72" s="497" t="s">
        <v>144</v>
      </c>
      <c r="O72" s="533" t="s">
        <v>128</v>
      </c>
      <c r="P72" s="499" t="s">
        <v>112</v>
      </c>
      <c r="Q72" s="501" t="s">
        <v>100</v>
      </c>
      <c r="R72" s="503" t="s">
        <v>104</v>
      </c>
      <c r="S72" s="491" t="s">
        <v>101</v>
      </c>
      <c r="T72" s="244" t="s">
        <v>129</v>
      </c>
      <c r="U72" s="242"/>
      <c r="V72" s="494" t="s">
        <v>130</v>
      </c>
      <c r="W72" s="513" t="s">
        <v>131</v>
      </c>
      <c r="X72" s="494" t="s">
        <v>152</v>
      </c>
      <c r="Y72" s="513" t="s">
        <v>132</v>
      </c>
      <c r="Z72" s="497" t="s">
        <v>129</v>
      </c>
      <c r="AA72" s="497" t="s">
        <v>144</v>
      </c>
      <c r="AB72" s="533" t="s">
        <v>128</v>
      </c>
    </row>
    <row r="73" spans="1:28" ht="13.35" customHeight="1" thickBot="1" x14ac:dyDescent="0.25">
      <c r="C73" s="500"/>
      <c r="D73" s="502"/>
      <c r="E73" s="504"/>
      <c r="F73" s="492"/>
      <c r="G73" s="47" t="s">
        <v>102</v>
      </c>
      <c r="H73" s="47" t="s">
        <v>103</v>
      </c>
      <c r="I73" s="496"/>
      <c r="J73" s="514"/>
      <c r="K73" s="496"/>
      <c r="L73" s="514"/>
      <c r="M73" s="498"/>
      <c r="N73" s="498"/>
      <c r="O73" s="534"/>
      <c r="P73" s="515"/>
      <c r="Q73" s="517"/>
      <c r="R73" s="516"/>
      <c r="S73" s="493"/>
      <c r="T73" s="49" t="s">
        <v>102</v>
      </c>
      <c r="U73" s="49" t="s">
        <v>103</v>
      </c>
      <c r="V73" s="495"/>
      <c r="W73" s="518"/>
      <c r="X73" s="495"/>
      <c r="Y73" s="518"/>
      <c r="Z73" s="519"/>
      <c r="AA73" s="519"/>
      <c r="AB73" s="547"/>
    </row>
    <row r="74" spans="1:28" ht="13.35" customHeight="1" x14ac:dyDescent="0.2">
      <c r="A74">
        <v>3</v>
      </c>
      <c r="B74">
        <v>1</v>
      </c>
      <c r="C74" s="58">
        <f>DATE(Anno,3,1)</f>
        <v>45717</v>
      </c>
      <c r="D74" s="40">
        <f>C74</f>
        <v>45717</v>
      </c>
      <c r="E74" s="150"/>
      <c r="F74" s="151"/>
      <c r="G74" s="138"/>
      <c r="H74" s="138"/>
      <c r="I74" s="76">
        <f t="shared" ref="I74:I104" si="12">IF(C74="","",IF(OR(G74="",H74=""),,IF(H74&lt;G74,MOD(H74-G74,1),H74-G74)))</f>
        <v>0</v>
      </c>
      <c r="J74" s="76"/>
      <c r="K74" s="76"/>
      <c r="L74" s="142"/>
      <c r="M74" s="169"/>
      <c r="N74" s="198"/>
      <c r="O74" s="535" t="str">
        <f t="shared" ref="O74:O104" si="13">IF(E74="d","1","")&amp;IF(E74="P","1","")&amp;IF(E74="FL","1","")&amp;IF(E74="IL","1","")&amp;IF(E74="V","1","")</f>
        <v/>
      </c>
      <c r="P74" s="53">
        <f>DATE(Anno,9,1)</f>
        <v>45901</v>
      </c>
      <c r="Q74" s="54">
        <f>P74</f>
        <v>45901</v>
      </c>
      <c r="R74" s="115"/>
      <c r="S74" s="252"/>
      <c r="T74" s="117"/>
      <c r="U74" s="117"/>
      <c r="V74" s="72">
        <f t="shared" ref="V74:V104" si="14">IF(P74="","",IF(OR(T74="",U74=""),,IF(U74&lt;T74,MOD(U74-T74,1),U74-T74)))</f>
        <v>0</v>
      </c>
      <c r="W74" s="246"/>
      <c r="X74" s="246"/>
      <c r="Y74" s="254"/>
      <c r="Z74" s="128"/>
      <c r="AA74" s="255"/>
      <c r="AB74" s="548" t="str">
        <f t="shared" ref="AB74:AB104" si="15">IF(R74="d","1","")&amp;IF(R74="P","1","")&amp;IF(R74="FL","1","")&amp;IF(R74="IL","1","")&amp;IF(R74="V","1","")</f>
        <v/>
      </c>
    </row>
    <row r="75" spans="1:28" ht="13.35" customHeight="1" x14ac:dyDescent="0.2">
      <c r="A75">
        <v>3</v>
      </c>
      <c r="B75">
        <v>2</v>
      </c>
      <c r="C75" s="55">
        <f>DATE(Anno,3,2)</f>
        <v>45718</v>
      </c>
      <c r="D75" s="51">
        <f t="shared" ref="D75:D104" si="16">C75</f>
        <v>45718</v>
      </c>
      <c r="E75" s="118"/>
      <c r="F75" s="151"/>
      <c r="G75" s="120"/>
      <c r="H75" s="120"/>
      <c r="I75" s="76">
        <f t="shared" si="12"/>
        <v>0</v>
      </c>
      <c r="J75" s="70"/>
      <c r="K75" s="70"/>
      <c r="L75" s="131"/>
      <c r="M75" s="130"/>
      <c r="N75" s="196"/>
      <c r="O75" s="535" t="str">
        <f t="shared" si="13"/>
        <v/>
      </c>
      <c r="P75" s="55">
        <f>DATE(Anno,9,2)</f>
        <v>45902</v>
      </c>
      <c r="Q75" s="51">
        <f t="shared" ref="Q75:Q103" si="17">P75</f>
        <v>45902</v>
      </c>
      <c r="R75" s="118"/>
      <c r="S75" s="139"/>
      <c r="T75" s="120"/>
      <c r="U75" s="120"/>
      <c r="V75" s="71">
        <f t="shared" si="14"/>
        <v>0</v>
      </c>
      <c r="W75" s="77"/>
      <c r="X75" s="77"/>
      <c r="Y75" s="146"/>
      <c r="Z75" s="134"/>
      <c r="AA75" s="186"/>
      <c r="AB75" s="544" t="str">
        <f t="shared" si="15"/>
        <v/>
      </c>
    </row>
    <row r="76" spans="1:28" ht="13.35" customHeight="1" x14ac:dyDescent="0.2">
      <c r="A76">
        <v>3</v>
      </c>
      <c r="B76">
        <v>3</v>
      </c>
      <c r="C76" s="55">
        <f>DATE(Anno,3,3)</f>
        <v>45719</v>
      </c>
      <c r="D76" s="51">
        <f t="shared" si="16"/>
        <v>45719</v>
      </c>
      <c r="E76" s="118"/>
      <c r="F76" s="151"/>
      <c r="G76" s="120"/>
      <c r="H76" s="120"/>
      <c r="I76" s="76">
        <f t="shared" si="12"/>
        <v>0</v>
      </c>
      <c r="J76" s="70"/>
      <c r="K76" s="70"/>
      <c r="L76" s="131"/>
      <c r="M76" s="132"/>
      <c r="N76" s="196"/>
      <c r="O76" s="535" t="str">
        <f t="shared" si="13"/>
        <v/>
      </c>
      <c r="P76" s="55">
        <f>DATE(Anno,9,3)</f>
        <v>45903</v>
      </c>
      <c r="Q76" s="51">
        <f t="shared" si="17"/>
        <v>45903</v>
      </c>
      <c r="R76" s="118"/>
      <c r="S76" s="123"/>
      <c r="T76" s="120"/>
      <c r="U76" s="120"/>
      <c r="V76" s="71">
        <f t="shared" si="14"/>
        <v>0</v>
      </c>
      <c r="W76" s="77"/>
      <c r="X76" s="77"/>
      <c r="Y76" s="146"/>
      <c r="Z76" s="132"/>
      <c r="AA76" s="187"/>
      <c r="AB76" s="544" t="str">
        <f t="shared" si="15"/>
        <v/>
      </c>
    </row>
    <row r="77" spans="1:28" ht="13.35" customHeight="1" x14ac:dyDescent="0.2">
      <c r="A77">
        <v>3</v>
      </c>
      <c r="B77">
        <v>4</v>
      </c>
      <c r="C77" s="55">
        <f>DATE(Anno,3,4)</f>
        <v>45720</v>
      </c>
      <c r="D77" s="51">
        <f t="shared" si="16"/>
        <v>45720</v>
      </c>
      <c r="E77" s="118"/>
      <c r="F77" s="151"/>
      <c r="G77" s="120"/>
      <c r="H77" s="120"/>
      <c r="I77" s="76">
        <f t="shared" si="12"/>
        <v>0</v>
      </c>
      <c r="J77" s="70"/>
      <c r="K77" s="70"/>
      <c r="L77" s="131"/>
      <c r="M77" s="132"/>
      <c r="N77" s="196"/>
      <c r="O77" s="535" t="str">
        <f t="shared" si="13"/>
        <v/>
      </c>
      <c r="P77" s="55">
        <f>DATE(Anno,9,4)</f>
        <v>45904</v>
      </c>
      <c r="Q77" s="51">
        <f t="shared" si="17"/>
        <v>45904</v>
      </c>
      <c r="R77" s="118"/>
      <c r="S77" s="123"/>
      <c r="T77" s="120"/>
      <c r="U77" s="120"/>
      <c r="V77" s="71">
        <f t="shared" si="14"/>
        <v>0</v>
      </c>
      <c r="W77" s="70"/>
      <c r="X77" s="70"/>
      <c r="Y77" s="133"/>
      <c r="Z77" s="132"/>
      <c r="AA77" s="187"/>
      <c r="AB77" s="544" t="str">
        <f t="shared" si="15"/>
        <v/>
      </c>
    </row>
    <row r="78" spans="1:28" ht="13.35" customHeight="1" x14ac:dyDescent="0.2">
      <c r="A78">
        <v>3</v>
      </c>
      <c r="B78">
        <v>5</v>
      </c>
      <c r="C78" s="55">
        <f>DATE(Anno,3,5)</f>
        <v>45721</v>
      </c>
      <c r="D78" s="51">
        <f t="shared" si="16"/>
        <v>45721</v>
      </c>
      <c r="E78" s="118"/>
      <c r="F78" s="121"/>
      <c r="G78" s="120"/>
      <c r="H78" s="120"/>
      <c r="I78" s="76">
        <f t="shared" si="12"/>
        <v>0</v>
      </c>
      <c r="J78" s="70"/>
      <c r="K78" s="70"/>
      <c r="L78" s="131"/>
      <c r="M78" s="132"/>
      <c r="N78" s="196"/>
      <c r="O78" s="535" t="str">
        <f t="shared" si="13"/>
        <v/>
      </c>
      <c r="P78" s="55">
        <f>DATE(Anno,9,5)</f>
        <v>45905</v>
      </c>
      <c r="Q78" s="51">
        <f t="shared" si="17"/>
        <v>45905</v>
      </c>
      <c r="R78" s="118"/>
      <c r="S78" s="140"/>
      <c r="T78" s="120"/>
      <c r="U78" s="120"/>
      <c r="V78" s="71">
        <f t="shared" si="14"/>
        <v>0</v>
      </c>
      <c r="W78" s="77"/>
      <c r="X78" s="77"/>
      <c r="Y78" s="146"/>
      <c r="Z78" s="134"/>
      <c r="AA78" s="186"/>
      <c r="AB78" s="544" t="str">
        <f t="shared" si="15"/>
        <v/>
      </c>
    </row>
    <row r="79" spans="1:28" ht="13.35" customHeight="1" x14ac:dyDescent="0.2">
      <c r="A79">
        <v>3</v>
      </c>
      <c r="B79">
        <v>6</v>
      </c>
      <c r="C79" s="55">
        <f>DATE(Anno,3,6)</f>
        <v>45722</v>
      </c>
      <c r="D79" s="51">
        <f t="shared" si="16"/>
        <v>45722</v>
      </c>
      <c r="E79" s="118"/>
      <c r="F79" s="121"/>
      <c r="G79" s="120"/>
      <c r="H79" s="120"/>
      <c r="I79" s="76">
        <f t="shared" si="12"/>
        <v>0</v>
      </c>
      <c r="J79" s="70"/>
      <c r="K79" s="70"/>
      <c r="L79" s="131"/>
      <c r="M79" s="132"/>
      <c r="N79" s="196"/>
      <c r="O79" s="535" t="str">
        <f t="shared" si="13"/>
        <v/>
      </c>
      <c r="P79" s="55">
        <f>DATE(Anno,9,6)</f>
        <v>45906</v>
      </c>
      <c r="Q79" s="51">
        <f t="shared" si="17"/>
        <v>45906</v>
      </c>
      <c r="R79" s="118"/>
      <c r="S79" s="140"/>
      <c r="T79" s="120"/>
      <c r="U79" s="120"/>
      <c r="V79" s="71">
        <f t="shared" si="14"/>
        <v>0</v>
      </c>
      <c r="W79" s="73"/>
      <c r="X79" s="73"/>
      <c r="Y79" s="133"/>
      <c r="Z79" s="134"/>
      <c r="AA79" s="186"/>
      <c r="AB79" s="544" t="str">
        <f t="shared" si="15"/>
        <v/>
      </c>
    </row>
    <row r="80" spans="1:28" ht="13.35" customHeight="1" x14ac:dyDescent="0.2">
      <c r="A80">
        <v>3</v>
      </c>
      <c r="B80">
        <v>7</v>
      </c>
      <c r="C80" s="55">
        <f>DATE(Anno,3,7)</f>
        <v>45723</v>
      </c>
      <c r="D80" s="51">
        <f t="shared" si="16"/>
        <v>45723</v>
      </c>
      <c r="E80" s="118"/>
      <c r="F80" s="121"/>
      <c r="G80" s="120"/>
      <c r="H80" s="120"/>
      <c r="I80" s="76">
        <f t="shared" si="12"/>
        <v>0</v>
      </c>
      <c r="J80" s="70"/>
      <c r="K80" s="70"/>
      <c r="L80" s="131"/>
      <c r="M80" s="132"/>
      <c r="N80" s="196"/>
      <c r="O80" s="535" t="str">
        <f t="shared" si="13"/>
        <v/>
      </c>
      <c r="P80" s="55">
        <f>DATE(Anno,9,7)</f>
        <v>45907</v>
      </c>
      <c r="Q80" s="51">
        <f t="shared" si="17"/>
        <v>45907</v>
      </c>
      <c r="R80" s="118"/>
      <c r="S80" s="140"/>
      <c r="T80" s="120"/>
      <c r="U80" s="120"/>
      <c r="V80" s="71">
        <f t="shared" si="14"/>
        <v>0</v>
      </c>
      <c r="W80" s="77"/>
      <c r="X80" s="77"/>
      <c r="Y80" s="146"/>
      <c r="Z80" s="134"/>
      <c r="AA80" s="186"/>
      <c r="AB80" s="544" t="str">
        <f t="shared" si="15"/>
        <v/>
      </c>
    </row>
    <row r="81" spans="1:28" ht="13.35" customHeight="1" x14ac:dyDescent="0.2">
      <c r="A81">
        <v>3</v>
      </c>
      <c r="B81">
        <v>8</v>
      </c>
      <c r="C81" s="55">
        <f>DATE(Anno,3,8)</f>
        <v>45724</v>
      </c>
      <c r="D81" s="51">
        <f t="shared" si="16"/>
        <v>45724</v>
      </c>
      <c r="E81" s="118"/>
      <c r="F81" s="121"/>
      <c r="G81" s="120"/>
      <c r="H81" s="120"/>
      <c r="I81" s="76">
        <f t="shared" si="12"/>
        <v>0</v>
      </c>
      <c r="J81" s="70"/>
      <c r="K81" s="70"/>
      <c r="L81" s="131"/>
      <c r="M81" s="132"/>
      <c r="N81" s="196"/>
      <c r="O81" s="535" t="str">
        <f t="shared" si="13"/>
        <v/>
      </c>
      <c r="P81" s="55">
        <f>DATE(Anno,9,8)</f>
        <v>45908</v>
      </c>
      <c r="Q81" s="51">
        <f t="shared" si="17"/>
        <v>45908</v>
      </c>
      <c r="R81" s="118"/>
      <c r="S81" s="140"/>
      <c r="T81" s="120"/>
      <c r="U81" s="120"/>
      <c r="V81" s="71">
        <f t="shared" si="14"/>
        <v>0</v>
      </c>
      <c r="W81" s="70"/>
      <c r="X81" s="70"/>
      <c r="Y81" s="133"/>
      <c r="Z81" s="132"/>
      <c r="AA81" s="187"/>
      <c r="AB81" s="544" t="str">
        <f t="shared" si="15"/>
        <v/>
      </c>
    </row>
    <row r="82" spans="1:28" ht="13.35" customHeight="1" x14ac:dyDescent="0.2">
      <c r="A82">
        <v>3</v>
      </c>
      <c r="B82">
        <v>9</v>
      </c>
      <c r="C82" s="55">
        <f>DATE(Anno,3,9)</f>
        <v>45725</v>
      </c>
      <c r="D82" s="51">
        <f t="shared" si="16"/>
        <v>45725</v>
      </c>
      <c r="E82" s="118"/>
      <c r="F82" s="122"/>
      <c r="G82" s="120"/>
      <c r="H82" s="120"/>
      <c r="I82" s="76">
        <f t="shared" si="12"/>
        <v>0</v>
      </c>
      <c r="J82" s="70"/>
      <c r="K82" s="70"/>
      <c r="L82" s="131"/>
      <c r="M82" s="132"/>
      <c r="N82" s="196"/>
      <c r="O82" s="535" t="str">
        <f t="shared" si="13"/>
        <v/>
      </c>
      <c r="P82" s="55">
        <f>DATE(Anno,9,9)</f>
        <v>45909</v>
      </c>
      <c r="Q82" s="51">
        <f t="shared" si="17"/>
        <v>45909</v>
      </c>
      <c r="R82" s="118"/>
      <c r="S82" s="123"/>
      <c r="T82" s="120"/>
      <c r="U82" s="120"/>
      <c r="V82" s="71">
        <f t="shared" si="14"/>
        <v>0</v>
      </c>
      <c r="W82" s="71"/>
      <c r="X82" s="71"/>
      <c r="Y82" s="129"/>
      <c r="Z82" s="134"/>
      <c r="AA82" s="186"/>
      <c r="AB82" s="544" t="str">
        <f t="shared" si="15"/>
        <v/>
      </c>
    </row>
    <row r="83" spans="1:28" ht="13.35" customHeight="1" x14ac:dyDescent="0.2">
      <c r="A83">
        <v>3</v>
      </c>
      <c r="B83">
        <v>10</v>
      </c>
      <c r="C83" s="55">
        <f>DATE(Anno,3,10)</f>
        <v>45726</v>
      </c>
      <c r="D83" s="51">
        <f t="shared" si="16"/>
        <v>45726</v>
      </c>
      <c r="E83" s="118"/>
      <c r="F83" s="121"/>
      <c r="G83" s="120"/>
      <c r="H83" s="120"/>
      <c r="I83" s="76">
        <f t="shared" si="12"/>
        <v>0</v>
      </c>
      <c r="J83" s="70"/>
      <c r="K83" s="70"/>
      <c r="L83" s="131"/>
      <c r="M83" s="132"/>
      <c r="N83" s="196"/>
      <c r="O83" s="535" t="str">
        <f t="shared" si="13"/>
        <v/>
      </c>
      <c r="P83" s="55">
        <f>DATE(Anno,9,10)</f>
        <v>45910</v>
      </c>
      <c r="Q83" s="51">
        <f t="shared" si="17"/>
        <v>45910</v>
      </c>
      <c r="R83" s="118"/>
      <c r="S83" s="119"/>
      <c r="T83" s="120"/>
      <c r="U83" s="120"/>
      <c r="V83" s="71">
        <f t="shared" si="14"/>
        <v>0</v>
      </c>
      <c r="W83" s="74"/>
      <c r="X83" s="74"/>
      <c r="Y83" s="135"/>
      <c r="Z83" s="134"/>
      <c r="AA83" s="186"/>
      <c r="AB83" s="544" t="str">
        <f t="shared" si="15"/>
        <v/>
      </c>
    </row>
    <row r="84" spans="1:28" ht="13.35" customHeight="1" x14ac:dyDescent="0.2">
      <c r="A84">
        <v>3</v>
      </c>
      <c r="B84">
        <v>11</v>
      </c>
      <c r="C84" s="55">
        <f>DATE(Anno,3,11)</f>
        <v>45727</v>
      </c>
      <c r="D84" s="51">
        <f t="shared" si="16"/>
        <v>45727</v>
      </c>
      <c r="E84" s="118"/>
      <c r="F84" s="121"/>
      <c r="G84" s="120"/>
      <c r="H84" s="120"/>
      <c r="I84" s="76">
        <f t="shared" si="12"/>
        <v>0</v>
      </c>
      <c r="J84" s="70"/>
      <c r="K84" s="70"/>
      <c r="L84" s="133"/>
      <c r="M84" s="132"/>
      <c r="N84" s="196"/>
      <c r="O84" s="535" t="str">
        <f t="shared" si="13"/>
        <v/>
      </c>
      <c r="P84" s="55">
        <f>DATE(Anno,9,11)</f>
        <v>45911</v>
      </c>
      <c r="Q84" s="51">
        <f t="shared" si="17"/>
        <v>45911</v>
      </c>
      <c r="R84" s="118"/>
      <c r="S84" s="123"/>
      <c r="T84" s="120"/>
      <c r="U84" s="120"/>
      <c r="V84" s="71">
        <f t="shared" si="14"/>
        <v>0</v>
      </c>
      <c r="W84" s="77"/>
      <c r="X84" s="77"/>
      <c r="Y84" s="146"/>
      <c r="Z84" s="132"/>
      <c r="AA84" s="187"/>
      <c r="AB84" s="544" t="str">
        <f t="shared" si="15"/>
        <v/>
      </c>
    </row>
    <row r="85" spans="1:28" ht="13.35" customHeight="1" x14ac:dyDescent="0.2">
      <c r="A85">
        <v>3</v>
      </c>
      <c r="B85">
        <v>12</v>
      </c>
      <c r="C85" s="55">
        <f>DATE(Anno,3,12)</f>
        <v>45728</v>
      </c>
      <c r="D85" s="51">
        <f t="shared" si="16"/>
        <v>45728</v>
      </c>
      <c r="E85" s="118"/>
      <c r="F85" s="121"/>
      <c r="G85" s="120"/>
      <c r="H85" s="120"/>
      <c r="I85" s="76">
        <f t="shared" si="12"/>
        <v>0</v>
      </c>
      <c r="J85" s="70"/>
      <c r="K85" s="70"/>
      <c r="L85" s="133"/>
      <c r="M85" s="132"/>
      <c r="N85" s="196"/>
      <c r="O85" s="535" t="str">
        <f t="shared" si="13"/>
        <v/>
      </c>
      <c r="P85" s="55">
        <f>DATE(Anno,9,12)</f>
        <v>45912</v>
      </c>
      <c r="Q85" s="51">
        <f t="shared" si="17"/>
        <v>45912</v>
      </c>
      <c r="R85" s="118"/>
      <c r="S85" s="123"/>
      <c r="T85" s="120"/>
      <c r="U85" s="120"/>
      <c r="V85" s="71">
        <f t="shared" si="14"/>
        <v>0</v>
      </c>
      <c r="W85" s="77"/>
      <c r="X85" s="77"/>
      <c r="Y85" s="146"/>
      <c r="Z85" s="132"/>
      <c r="AA85" s="187"/>
      <c r="AB85" s="544" t="str">
        <f t="shared" si="15"/>
        <v/>
      </c>
    </row>
    <row r="86" spans="1:28" ht="13.35" customHeight="1" x14ac:dyDescent="0.2">
      <c r="A86">
        <v>3</v>
      </c>
      <c r="B86">
        <v>13</v>
      </c>
      <c r="C86" s="55">
        <f>DATE(Anno,3,13)</f>
        <v>45729</v>
      </c>
      <c r="D86" s="51">
        <f t="shared" si="16"/>
        <v>45729</v>
      </c>
      <c r="E86" s="118"/>
      <c r="F86" s="121"/>
      <c r="G86" s="120"/>
      <c r="H86" s="120"/>
      <c r="I86" s="76">
        <f t="shared" si="12"/>
        <v>0</v>
      </c>
      <c r="J86" s="70"/>
      <c r="K86" s="70"/>
      <c r="L86" s="131"/>
      <c r="M86" s="132"/>
      <c r="N86" s="196"/>
      <c r="O86" s="535" t="str">
        <f t="shared" si="13"/>
        <v/>
      </c>
      <c r="P86" s="55">
        <f>DATE(Anno,9,13)</f>
        <v>45913</v>
      </c>
      <c r="Q86" s="51">
        <f t="shared" si="17"/>
        <v>45913</v>
      </c>
      <c r="R86" s="118"/>
      <c r="S86" s="140"/>
      <c r="T86" s="120"/>
      <c r="U86" s="120"/>
      <c r="V86" s="71">
        <f t="shared" si="14"/>
        <v>0</v>
      </c>
      <c r="W86" s="77"/>
      <c r="X86" s="77"/>
      <c r="Y86" s="146"/>
      <c r="Z86" s="132"/>
      <c r="AA86" s="187"/>
      <c r="AB86" s="544" t="str">
        <f t="shared" si="15"/>
        <v/>
      </c>
    </row>
    <row r="87" spans="1:28" ht="13.35" customHeight="1" x14ac:dyDescent="0.2">
      <c r="A87">
        <v>3</v>
      </c>
      <c r="B87">
        <v>14</v>
      </c>
      <c r="C87" s="55">
        <f>DATE(Anno,3,14)</f>
        <v>45730</v>
      </c>
      <c r="D87" s="51">
        <f t="shared" si="16"/>
        <v>45730</v>
      </c>
      <c r="E87" s="118"/>
      <c r="F87" s="121"/>
      <c r="G87" s="120"/>
      <c r="H87" s="120"/>
      <c r="I87" s="76">
        <f t="shared" si="12"/>
        <v>0</v>
      </c>
      <c r="J87" s="70"/>
      <c r="K87" s="70"/>
      <c r="L87" s="131"/>
      <c r="M87" s="132"/>
      <c r="N87" s="196"/>
      <c r="O87" s="535" t="str">
        <f t="shared" si="13"/>
        <v/>
      </c>
      <c r="P87" s="55">
        <f>DATE(Anno,9,14)</f>
        <v>45914</v>
      </c>
      <c r="Q87" s="51">
        <f t="shared" si="17"/>
        <v>45914</v>
      </c>
      <c r="R87" s="118"/>
      <c r="S87" s="121"/>
      <c r="T87" s="120"/>
      <c r="U87" s="120"/>
      <c r="V87" s="71">
        <f t="shared" si="14"/>
        <v>0</v>
      </c>
      <c r="W87" s="70"/>
      <c r="X87" s="70"/>
      <c r="Y87" s="131"/>
      <c r="Z87" s="134"/>
      <c r="AA87" s="186"/>
      <c r="AB87" s="544" t="str">
        <f t="shared" si="15"/>
        <v/>
      </c>
    </row>
    <row r="88" spans="1:28" ht="13.35" customHeight="1" x14ac:dyDescent="0.2">
      <c r="A88">
        <v>3</v>
      </c>
      <c r="B88">
        <v>15</v>
      </c>
      <c r="C88" s="55">
        <f>DATE(Anno,3,15)</f>
        <v>45731</v>
      </c>
      <c r="D88" s="51">
        <f t="shared" si="16"/>
        <v>45731</v>
      </c>
      <c r="E88" s="118"/>
      <c r="F88" s="121"/>
      <c r="G88" s="120"/>
      <c r="H88" s="120"/>
      <c r="I88" s="76">
        <f t="shared" si="12"/>
        <v>0</v>
      </c>
      <c r="J88" s="70"/>
      <c r="K88" s="70"/>
      <c r="L88" s="131"/>
      <c r="M88" s="132"/>
      <c r="N88" s="196"/>
      <c r="O88" s="535" t="str">
        <f t="shared" si="13"/>
        <v/>
      </c>
      <c r="P88" s="55">
        <f>DATE(Anno,9,15)</f>
        <v>45915</v>
      </c>
      <c r="Q88" s="51">
        <f t="shared" si="17"/>
        <v>45915</v>
      </c>
      <c r="R88" s="118"/>
      <c r="S88" s="121"/>
      <c r="T88" s="120"/>
      <c r="U88" s="120"/>
      <c r="V88" s="71">
        <f t="shared" si="14"/>
        <v>0</v>
      </c>
      <c r="W88" s="70"/>
      <c r="X88" s="70"/>
      <c r="Y88" s="131"/>
      <c r="Z88" s="132"/>
      <c r="AA88" s="187"/>
      <c r="AB88" s="544" t="str">
        <f t="shared" si="15"/>
        <v/>
      </c>
    </row>
    <row r="89" spans="1:28" ht="13.35" customHeight="1" x14ac:dyDescent="0.2">
      <c r="A89">
        <v>3</v>
      </c>
      <c r="B89">
        <v>16</v>
      </c>
      <c r="C89" s="55">
        <f>DATE(Anno,3,16)</f>
        <v>45732</v>
      </c>
      <c r="D89" s="51">
        <f t="shared" si="16"/>
        <v>45732</v>
      </c>
      <c r="E89" s="118"/>
      <c r="F89" s="121"/>
      <c r="G89" s="120"/>
      <c r="H89" s="120"/>
      <c r="I89" s="76">
        <f t="shared" si="12"/>
        <v>0</v>
      </c>
      <c r="J89" s="70"/>
      <c r="K89" s="70"/>
      <c r="L89" s="131"/>
      <c r="M89" s="134"/>
      <c r="N89" s="196"/>
      <c r="O89" s="535" t="str">
        <f t="shared" si="13"/>
        <v/>
      </c>
      <c r="P89" s="55">
        <f>DATE(Anno,9,16)</f>
        <v>45916</v>
      </c>
      <c r="Q89" s="51">
        <f t="shared" si="17"/>
        <v>45916</v>
      </c>
      <c r="R89" s="118"/>
      <c r="S89" s="140"/>
      <c r="T89" s="120"/>
      <c r="U89" s="120"/>
      <c r="V89" s="71">
        <f t="shared" si="14"/>
        <v>0</v>
      </c>
      <c r="W89" s="83"/>
      <c r="X89" s="83"/>
      <c r="Y89" s="144"/>
      <c r="Z89" s="134"/>
      <c r="AA89" s="186"/>
      <c r="AB89" s="544" t="str">
        <f t="shared" si="15"/>
        <v/>
      </c>
    </row>
    <row r="90" spans="1:28" ht="13.35" customHeight="1" x14ac:dyDescent="0.2">
      <c r="A90">
        <v>3</v>
      </c>
      <c r="B90">
        <v>17</v>
      </c>
      <c r="C90" s="55">
        <f>DATE(Anno,3,17)</f>
        <v>45733</v>
      </c>
      <c r="D90" s="51">
        <f t="shared" si="16"/>
        <v>45733</v>
      </c>
      <c r="E90" s="118"/>
      <c r="F90" s="121"/>
      <c r="G90" s="120"/>
      <c r="H90" s="120"/>
      <c r="I90" s="76">
        <f t="shared" si="12"/>
        <v>0</v>
      </c>
      <c r="J90" s="70"/>
      <c r="K90" s="70"/>
      <c r="L90" s="131"/>
      <c r="M90" s="132"/>
      <c r="N90" s="196"/>
      <c r="O90" s="535" t="str">
        <f t="shared" si="13"/>
        <v/>
      </c>
      <c r="P90" s="55">
        <f>DATE(Anno,9,17)</f>
        <v>45917</v>
      </c>
      <c r="Q90" s="51">
        <f t="shared" si="17"/>
        <v>45917</v>
      </c>
      <c r="R90" s="118"/>
      <c r="S90" s="139"/>
      <c r="T90" s="120"/>
      <c r="U90" s="120"/>
      <c r="V90" s="71">
        <f t="shared" si="14"/>
        <v>0</v>
      </c>
      <c r="W90" s="83"/>
      <c r="X90" s="83"/>
      <c r="Y90" s="144"/>
      <c r="Z90" s="145"/>
      <c r="AA90" s="188"/>
      <c r="AB90" s="544" t="str">
        <f t="shared" si="15"/>
        <v/>
      </c>
    </row>
    <row r="91" spans="1:28" ht="13.35" customHeight="1" x14ac:dyDescent="0.2">
      <c r="A91">
        <v>3</v>
      </c>
      <c r="B91">
        <v>18</v>
      </c>
      <c r="C91" s="55">
        <f>DATE(Anno,3,18)</f>
        <v>45734</v>
      </c>
      <c r="D91" s="51">
        <f t="shared" si="16"/>
        <v>45734</v>
      </c>
      <c r="E91" s="118"/>
      <c r="F91" s="121"/>
      <c r="G91" s="120"/>
      <c r="H91" s="120"/>
      <c r="I91" s="76">
        <f t="shared" si="12"/>
        <v>0</v>
      </c>
      <c r="J91" s="70"/>
      <c r="K91" s="70"/>
      <c r="L91" s="131"/>
      <c r="M91" s="132"/>
      <c r="N91" s="196"/>
      <c r="O91" s="535" t="str">
        <f t="shared" si="13"/>
        <v/>
      </c>
      <c r="P91" s="55">
        <f>DATE(Anno,9,18)</f>
        <v>45918</v>
      </c>
      <c r="Q91" s="51">
        <f t="shared" si="17"/>
        <v>45918</v>
      </c>
      <c r="R91" s="118"/>
      <c r="S91" s="140"/>
      <c r="T91" s="120"/>
      <c r="U91" s="120"/>
      <c r="V91" s="71">
        <f t="shared" si="14"/>
        <v>0</v>
      </c>
      <c r="W91" s="77"/>
      <c r="X91" s="77"/>
      <c r="Y91" s="146"/>
      <c r="Z91" s="134"/>
      <c r="AA91" s="186"/>
      <c r="AB91" s="544" t="str">
        <f t="shared" si="15"/>
        <v/>
      </c>
    </row>
    <row r="92" spans="1:28" ht="13.35" customHeight="1" x14ac:dyDescent="0.2">
      <c r="A92">
        <v>3</v>
      </c>
      <c r="B92">
        <v>19</v>
      </c>
      <c r="C92" s="55">
        <f>DATE(Anno,3,19)</f>
        <v>45735</v>
      </c>
      <c r="D92" s="51">
        <f t="shared" si="16"/>
        <v>45735</v>
      </c>
      <c r="E92" s="118"/>
      <c r="F92" s="121"/>
      <c r="G92" s="120"/>
      <c r="H92" s="120"/>
      <c r="I92" s="76">
        <f t="shared" si="12"/>
        <v>0</v>
      </c>
      <c r="J92" s="70"/>
      <c r="K92" s="70"/>
      <c r="L92" s="131"/>
      <c r="M92" s="132"/>
      <c r="N92" s="196"/>
      <c r="O92" s="535" t="str">
        <f t="shared" si="13"/>
        <v/>
      </c>
      <c r="P92" s="55">
        <f>DATE(Anno,9,19)</f>
        <v>45919</v>
      </c>
      <c r="Q92" s="51">
        <f t="shared" si="17"/>
        <v>45919</v>
      </c>
      <c r="R92" s="118"/>
      <c r="S92" s="140"/>
      <c r="T92" s="120"/>
      <c r="U92" s="120"/>
      <c r="V92" s="71">
        <f t="shared" si="14"/>
        <v>0</v>
      </c>
      <c r="W92" s="77"/>
      <c r="X92" s="77"/>
      <c r="Y92" s="146"/>
      <c r="Z92" s="134"/>
      <c r="AA92" s="186"/>
      <c r="AB92" s="544" t="str">
        <f t="shared" si="15"/>
        <v/>
      </c>
    </row>
    <row r="93" spans="1:28" ht="13.35" customHeight="1" x14ac:dyDescent="0.2">
      <c r="A93">
        <v>3</v>
      </c>
      <c r="B93">
        <v>20</v>
      </c>
      <c r="C93" s="55">
        <f>DATE(Anno,3,20)</f>
        <v>45736</v>
      </c>
      <c r="D93" s="51">
        <f t="shared" si="16"/>
        <v>45736</v>
      </c>
      <c r="E93" s="118"/>
      <c r="F93" s="121"/>
      <c r="G93" s="120"/>
      <c r="H93" s="120"/>
      <c r="I93" s="76">
        <f t="shared" si="12"/>
        <v>0</v>
      </c>
      <c r="J93" s="73"/>
      <c r="K93" s="73"/>
      <c r="L93" s="131"/>
      <c r="M93" s="132"/>
      <c r="N93" s="196"/>
      <c r="O93" s="535" t="str">
        <f t="shared" si="13"/>
        <v/>
      </c>
      <c r="P93" s="55">
        <f>DATE(Anno,9,20)</f>
        <v>45920</v>
      </c>
      <c r="Q93" s="51">
        <f t="shared" si="17"/>
        <v>45920</v>
      </c>
      <c r="R93" s="118"/>
      <c r="S93" s="139"/>
      <c r="T93" s="120"/>
      <c r="U93" s="120"/>
      <c r="V93" s="71">
        <f t="shared" si="14"/>
        <v>0</v>
      </c>
      <c r="W93" s="83"/>
      <c r="X93" s="83"/>
      <c r="Y93" s="144"/>
      <c r="Z93" s="134"/>
      <c r="AA93" s="186"/>
      <c r="AB93" s="544" t="str">
        <f t="shared" si="15"/>
        <v/>
      </c>
    </row>
    <row r="94" spans="1:28" ht="13.35" customHeight="1" x14ac:dyDescent="0.2">
      <c r="A94">
        <v>3</v>
      </c>
      <c r="B94">
        <v>21</v>
      </c>
      <c r="C94" s="55">
        <f>DATE(Anno,3,21)</f>
        <v>45737</v>
      </c>
      <c r="D94" s="51">
        <f t="shared" si="16"/>
        <v>45737</v>
      </c>
      <c r="E94" s="118"/>
      <c r="F94" s="121"/>
      <c r="G94" s="120"/>
      <c r="H94" s="120"/>
      <c r="I94" s="76">
        <f t="shared" si="12"/>
        <v>0</v>
      </c>
      <c r="J94" s="70"/>
      <c r="K94" s="70"/>
      <c r="L94" s="131"/>
      <c r="M94" s="132"/>
      <c r="N94" s="196"/>
      <c r="O94" s="535" t="str">
        <f t="shared" si="13"/>
        <v/>
      </c>
      <c r="P94" s="55">
        <f>DATE(Anno,9,21)</f>
        <v>45921</v>
      </c>
      <c r="Q94" s="51">
        <f t="shared" si="17"/>
        <v>45921</v>
      </c>
      <c r="R94" s="118"/>
      <c r="S94" s="140"/>
      <c r="T94" s="120"/>
      <c r="U94" s="120"/>
      <c r="V94" s="71">
        <f t="shared" si="14"/>
        <v>0</v>
      </c>
      <c r="W94" s="83"/>
      <c r="X94" s="83"/>
      <c r="Y94" s="144"/>
      <c r="Z94" s="134"/>
      <c r="AA94" s="186"/>
      <c r="AB94" s="544" t="str">
        <f t="shared" si="15"/>
        <v/>
      </c>
    </row>
    <row r="95" spans="1:28" ht="13.35" customHeight="1" x14ac:dyDescent="0.2">
      <c r="A95">
        <v>3</v>
      </c>
      <c r="B95">
        <v>22</v>
      </c>
      <c r="C95" s="55">
        <f>DATE(Anno,3,22)</f>
        <v>45738</v>
      </c>
      <c r="D95" s="51">
        <f t="shared" si="16"/>
        <v>45738</v>
      </c>
      <c r="E95" s="118"/>
      <c r="F95" s="121"/>
      <c r="G95" s="120"/>
      <c r="H95" s="120"/>
      <c r="I95" s="76">
        <f t="shared" si="12"/>
        <v>0</v>
      </c>
      <c r="J95" s="70"/>
      <c r="K95" s="70"/>
      <c r="L95" s="131"/>
      <c r="M95" s="132"/>
      <c r="N95" s="196"/>
      <c r="O95" s="535" t="str">
        <f t="shared" si="13"/>
        <v/>
      </c>
      <c r="P95" s="55">
        <f>DATE(Anno,9,22)</f>
        <v>45922</v>
      </c>
      <c r="Q95" s="51">
        <f t="shared" si="17"/>
        <v>45922</v>
      </c>
      <c r="R95" s="118"/>
      <c r="S95" s="140"/>
      <c r="T95" s="120"/>
      <c r="U95" s="120"/>
      <c r="V95" s="71">
        <f t="shared" si="14"/>
        <v>0</v>
      </c>
      <c r="W95" s="70"/>
      <c r="X95" s="70"/>
      <c r="Y95" s="144"/>
      <c r="Z95" s="134"/>
      <c r="AA95" s="186"/>
      <c r="AB95" s="544" t="str">
        <f t="shared" si="15"/>
        <v/>
      </c>
    </row>
    <row r="96" spans="1:28" ht="13.35" customHeight="1" x14ac:dyDescent="0.2">
      <c r="A96">
        <v>3</v>
      </c>
      <c r="B96">
        <v>23</v>
      </c>
      <c r="C96" s="55">
        <f>DATE(Anno,3,23)</f>
        <v>45739</v>
      </c>
      <c r="D96" s="51">
        <f t="shared" si="16"/>
        <v>45739</v>
      </c>
      <c r="E96" s="118"/>
      <c r="F96" s="121"/>
      <c r="G96" s="120"/>
      <c r="H96" s="120"/>
      <c r="I96" s="76">
        <f t="shared" si="12"/>
        <v>0</v>
      </c>
      <c r="J96" s="70"/>
      <c r="K96" s="70"/>
      <c r="L96" s="131"/>
      <c r="M96" s="134"/>
      <c r="N96" s="196"/>
      <c r="O96" s="535" t="str">
        <f t="shared" si="13"/>
        <v/>
      </c>
      <c r="P96" s="55">
        <f>DATE(Anno,9,23)</f>
        <v>45923</v>
      </c>
      <c r="Q96" s="51">
        <f t="shared" si="17"/>
        <v>45923</v>
      </c>
      <c r="R96" s="118"/>
      <c r="S96" s="139"/>
      <c r="T96" s="120"/>
      <c r="U96" s="120"/>
      <c r="V96" s="71">
        <f t="shared" si="14"/>
        <v>0</v>
      </c>
      <c r="W96" s="83"/>
      <c r="X96" s="83"/>
      <c r="Y96" s="144"/>
      <c r="Z96" s="160"/>
      <c r="AA96" s="189"/>
      <c r="AB96" s="544" t="str">
        <f t="shared" si="15"/>
        <v/>
      </c>
    </row>
    <row r="97" spans="1:28" ht="13.35" customHeight="1" x14ac:dyDescent="0.2">
      <c r="A97">
        <v>3</v>
      </c>
      <c r="B97">
        <v>24</v>
      </c>
      <c r="C97" s="55">
        <f>DATE(Anno,3,24)</f>
        <v>45740</v>
      </c>
      <c r="D97" s="51">
        <f t="shared" si="16"/>
        <v>45740</v>
      </c>
      <c r="E97" s="118"/>
      <c r="F97" s="121"/>
      <c r="G97" s="120"/>
      <c r="H97" s="120"/>
      <c r="I97" s="76">
        <f t="shared" si="12"/>
        <v>0</v>
      </c>
      <c r="J97" s="70"/>
      <c r="K97" s="70"/>
      <c r="L97" s="131"/>
      <c r="M97" s="132"/>
      <c r="N97" s="196"/>
      <c r="O97" s="535" t="str">
        <f t="shared" si="13"/>
        <v/>
      </c>
      <c r="P97" s="55">
        <f>DATE(Anno,9,24)</f>
        <v>45924</v>
      </c>
      <c r="Q97" s="51">
        <f t="shared" si="17"/>
        <v>45924</v>
      </c>
      <c r="R97" s="118"/>
      <c r="S97" s="139"/>
      <c r="T97" s="120"/>
      <c r="U97" s="120"/>
      <c r="V97" s="71">
        <f t="shared" si="14"/>
        <v>0</v>
      </c>
      <c r="W97" s="83"/>
      <c r="X97" s="83"/>
      <c r="Y97" s="144"/>
      <c r="Z97" s="145"/>
      <c r="AA97" s="188"/>
      <c r="AB97" s="544" t="str">
        <f t="shared" si="15"/>
        <v/>
      </c>
    </row>
    <row r="98" spans="1:28" ht="13.35" customHeight="1" x14ac:dyDescent="0.2">
      <c r="A98">
        <v>3</v>
      </c>
      <c r="B98">
        <v>25</v>
      </c>
      <c r="C98" s="55">
        <f>DATE(Anno,3,25)</f>
        <v>45741</v>
      </c>
      <c r="D98" s="51">
        <f t="shared" si="16"/>
        <v>45741</v>
      </c>
      <c r="E98" s="118"/>
      <c r="F98" s="121"/>
      <c r="G98" s="120"/>
      <c r="H98" s="120"/>
      <c r="I98" s="76">
        <f t="shared" si="12"/>
        <v>0</v>
      </c>
      <c r="J98" s="70"/>
      <c r="K98" s="70"/>
      <c r="L98" s="131"/>
      <c r="M98" s="132"/>
      <c r="N98" s="196"/>
      <c r="O98" s="535" t="str">
        <f t="shared" si="13"/>
        <v/>
      </c>
      <c r="P98" s="55">
        <f>DATE(Anno,9,25)</f>
        <v>45925</v>
      </c>
      <c r="Q98" s="51">
        <f t="shared" si="17"/>
        <v>45925</v>
      </c>
      <c r="R98" s="118"/>
      <c r="S98" s="139"/>
      <c r="T98" s="120"/>
      <c r="U98" s="120"/>
      <c r="V98" s="71">
        <f t="shared" si="14"/>
        <v>0</v>
      </c>
      <c r="W98" s="83"/>
      <c r="X98" s="83"/>
      <c r="Y98" s="144"/>
      <c r="Z98" s="160"/>
      <c r="AA98" s="189"/>
      <c r="AB98" s="544" t="str">
        <f t="shared" si="15"/>
        <v/>
      </c>
    </row>
    <row r="99" spans="1:28" ht="13.35" customHeight="1" x14ac:dyDescent="0.2">
      <c r="A99">
        <v>3</v>
      </c>
      <c r="B99">
        <v>26</v>
      </c>
      <c r="C99" s="55">
        <f>DATE(Anno,3,26)</f>
        <v>45742</v>
      </c>
      <c r="D99" s="51">
        <f t="shared" si="16"/>
        <v>45742</v>
      </c>
      <c r="E99" s="118"/>
      <c r="F99" s="121"/>
      <c r="G99" s="120"/>
      <c r="H99" s="120"/>
      <c r="I99" s="76">
        <f t="shared" si="12"/>
        <v>0</v>
      </c>
      <c r="J99" s="70"/>
      <c r="K99" s="70"/>
      <c r="L99" s="131"/>
      <c r="M99" s="132"/>
      <c r="N99" s="196"/>
      <c r="O99" s="535" t="str">
        <f t="shared" si="13"/>
        <v/>
      </c>
      <c r="P99" s="55">
        <f>DATE(Anno,9,26)</f>
        <v>45926</v>
      </c>
      <c r="Q99" s="51">
        <f t="shared" si="17"/>
        <v>45926</v>
      </c>
      <c r="R99" s="118"/>
      <c r="S99" s="121"/>
      <c r="T99" s="120"/>
      <c r="U99" s="120"/>
      <c r="V99" s="71">
        <f t="shared" si="14"/>
        <v>0</v>
      </c>
      <c r="W99" s="71"/>
      <c r="X99" s="71"/>
      <c r="Y99" s="129"/>
      <c r="Z99" s="134"/>
      <c r="AA99" s="186"/>
      <c r="AB99" s="544" t="str">
        <f t="shared" si="15"/>
        <v/>
      </c>
    </row>
    <row r="100" spans="1:28" ht="13.35" customHeight="1" x14ac:dyDescent="0.2">
      <c r="A100">
        <v>3</v>
      </c>
      <c r="B100">
        <v>27</v>
      </c>
      <c r="C100" s="55">
        <f>DATE(Anno,3,27)</f>
        <v>45743</v>
      </c>
      <c r="D100" s="51">
        <f t="shared" si="16"/>
        <v>45743</v>
      </c>
      <c r="E100" s="118"/>
      <c r="F100" s="121"/>
      <c r="G100" s="120"/>
      <c r="H100" s="120"/>
      <c r="I100" s="76">
        <f t="shared" si="12"/>
        <v>0</v>
      </c>
      <c r="J100" s="70"/>
      <c r="K100" s="70"/>
      <c r="L100" s="133"/>
      <c r="M100" s="132"/>
      <c r="N100" s="196"/>
      <c r="O100" s="535" t="str">
        <f t="shared" si="13"/>
        <v/>
      </c>
      <c r="P100" s="55">
        <f>DATE(Anno,9,27)</f>
        <v>45927</v>
      </c>
      <c r="Q100" s="51">
        <f t="shared" si="17"/>
        <v>45927</v>
      </c>
      <c r="R100" s="118"/>
      <c r="S100" s="140"/>
      <c r="T100" s="120"/>
      <c r="U100" s="120"/>
      <c r="V100" s="71">
        <f t="shared" si="14"/>
        <v>0</v>
      </c>
      <c r="W100" s="71"/>
      <c r="X100" s="71"/>
      <c r="Y100" s="129"/>
      <c r="Z100" s="134"/>
      <c r="AA100" s="186"/>
      <c r="AB100" s="544" t="str">
        <f t="shared" si="15"/>
        <v/>
      </c>
    </row>
    <row r="101" spans="1:28" ht="13.35" customHeight="1" thickBot="1" x14ac:dyDescent="0.25">
      <c r="A101">
        <v>3</v>
      </c>
      <c r="B101">
        <v>28</v>
      </c>
      <c r="C101" s="55">
        <f>DATE(Anno,3,28)</f>
        <v>45744</v>
      </c>
      <c r="D101" s="51">
        <f t="shared" si="16"/>
        <v>45744</v>
      </c>
      <c r="E101" s="118"/>
      <c r="F101" s="121"/>
      <c r="G101" s="120"/>
      <c r="H101" s="120"/>
      <c r="I101" s="76">
        <f t="shared" si="12"/>
        <v>0</v>
      </c>
      <c r="J101" s="70"/>
      <c r="K101" s="70"/>
      <c r="L101" s="133"/>
      <c r="M101" s="132"/>
      <c r="N101" s="196"/>
      <c r="O101" s="535" t="str">
        <f t="shared" si="13"/>
        <v/>
      </c>
      <c r="P101" s="55">
        <f>DATE(Anno,9,28)</f>
        <v>45928</v>
      </c>
      <c r="Q101" s="51">
        <f t="shared" si="17"/>
        <v>45928</v>
      </c>
      <c r="R101" s="118"/>
      <c r="S101" s="140"/>
      <c r="T101" s="120"/>
      <c r="U101" s="120"/>
      <c r="V101" s="71">
        <f t="shared" si="14"/>
        <v>0</v>
      </c>
      <c r="W101" s="84"/>
      <c r="X101" s="84"/>
      <c r="Y101" s="144"/>
      <c r="Z101" s="145"/>
      <c r="AA101" s="188"/>
      <c r="AB101" s="544" t="str">
        <f t="shared" si="15"/>
        <v/>
      </c>
    </row>
    <row r="102" spans="1:28" ht="13.35" customHeight="1" x14ac:dyDescent="0.2">
      <c r="A102">
        <v>3</v>
      </c>
      <c r="B102">
        <v>29</v>
      </c>
      <c r="C102" s="61">
        <f>DATE(Anno,3,29)</f>
        <v>45745</v>
      </c>
      <c r="D102" s="62">
        <f t="shared" si="16"/>
        <v>45745</v>
      </c>
      <c r="E102" s="163"/>
      <c r="F102" s="164"/>
      <c r="G102" s="165"/>
      <c r="H102" s="165"/>
      <c r="I102" s="76">
        <f t="shared" si="12"/>
        <v>0</v>
      </c>
      <c r="J102" s="494" t="s">
        <v>131</v>
      </c>
      <c r="K102" s="211"/>
      <c r="L102" s="170"/>
      <c r="M102" s="132"/>
      <c r="N102" s="199"/>
      <c r="O102" s="535" t="str">
        <f t="shared" si="13"/>
        <v/>
      </c>
      <c r="P102" s="55">
        <f>DATE(Anno,9,29)</f>
        <v>45929</v>
      </c>
      <c r="Q102" s="51">
        <f t="shared" si="17"/>
        <v>45929</v>
      </c>
      <c r="R102" s="118"/>
      <c r="S102" s="139"/>
      <c r="T102" s="120"/>
      <c r="U102" s="120"/>
      <c r="V102" s="71">
        <f t="shared" si="14"/>
        <v>0</v>
      </c>
      <c r="W102" s="494" t="s">
        <v>131</v>
      </c>
      <c r="X102" s="211"/>
      <c r="Y102" s="144"/>
      <c r="Z102" s="160"/>
      <c r="AA102" s="189"/>
      <c r="AB102" s="544" t="str">
        <f t="shared" si="15"/>
        <v/>
      </c>
    </row>
    <row r="103" spans="1:28" ht="13.35" customHeight="1" thickBot="1" x14ac:dyDescent="0.25">
      <c r="A103">
        <v>3</v>
      </c>
      <c r="B103">
        <v>30</v>
      </c>
      <c r="C103" s="66">
        <f>DATE(Anno,3,30)</f>
        <v>45746</v>
      </c>
      <c r="D103" s="51">
        <f t="shared" si="16"/>
        <v>45746</v>
      </c>
      <c r="E103" s="118"/>
      <c r="F103" s="121"/>
      <c r="G103" s="120"/>
      <c r="H103" s="120"/>
      <c r="I103" s="76">
        <f t="shared" si="12"/>
        <v>0</v>
      </c>
      <c r="J103" s="496"/>
      <c r="K103" s="214"/>
      <c r="L103" s="131"/>
      <c r="M103" s="132"/>
      <c r="N103" s="196"/>
      <c r="O103" s="535" t="str">
        <f t="shared" si="13"/>
        <v/>
      </c>
      <c r="P103" s="55">
        <f>DATE(Anno,9,30)</f>
        <v>45930</v>
      </c>
      <c r="Q103" s="51">
        <f t="shared" si="17"/>
        <v>45930</v>
      </c>
      <c r="R103" s="118"/>
      <c r="S103" s="139"/>
      <c r="T103" s="120"/>
      <c r="U103" s="120"/>
      <c r="V103" s="71">
        <f t="shared" si="14"/>
        <v>0</v>
      </c>
      <c r="W103" s="496"/>
      <c r="X103" s="214"/>
      <c r="Y103" s="146"/>
      <c r="Z103" s="145"/>
      <c r="AA103" s="188"/>
      <c r="AB103" s="544" t="str">
        <f t="shared" si="15"/>
        <v/>
      </c>
    </row>
    <row r="104" spans="1:28" ht="13.35" customHeight="1" thickBot="1" x14ac:dyDescent="0.25">
      <c r="A104">
        <v>3</v>
      </c>
      <c r="B104">
        <v>31</v>
      </c>
      <c r="C104" s="60">
        <f>DATE(Anno,3,31)</f>
        <v>45747</v>
      </c>
      <c r="D104" s="46">
        <f t="shared" si="16"/>
        <v>45747</v>
      </c>
      <c r="E104" s="166"/>
      <c r="F104" s="167"/>
      <c r="G104" s="168"/>
      <c r="H104" s="168"/>
      <c r="I104" s="265">
        <f t="shared" si="12"/>
        <v>0</v>
      </c>
      <c r="J104" s="234">
        <f>SUM(I74:I104)</f>
        <v>0</v>
      </c>
      <c r="K104" s="269">
        <f>ROUNDDOWN((31*38)/7,0)</f>
        <v>168</v>
      </c>
      <c r="L104" s="171"/>
      <c r="M104" s="172"/>
      <c r="N104" s="200"/>
      <c r="O104" s="540" t="str">
        <f t="shared" si="13"/>
        <v/>
      </c>
      <c r="P104" s="56"/>
      <c r="Q104" s="57"/>
      <c r="R104" s="124"/>
      <c r="S104" s="141"/>
      <c r="T104" s="126"/>
      <c r="U104" s="126"/>
      <c r="V104" s="229" t="str">
        <f t="shared" si="14"/>
        <v/>
      </c>
      <c r="W104" s="250">
        <f>SUM(V74:V104)</f>
        <v>0</v>
      </c>
      <c r="X104" s="269">
        <f>ROUNDDOWN((30*38)/7,0)</f>
        <v>162</v>
      </c>
      <c r="Y104" s="148"/>
      <c r="Z104" s="149"/>
      <c r="AA104" s="256"/>
      <c r="AB104" s="549" t="str">
        <f t="shared" si="15"/>
        <v/>
      </c>
    </row>
    <row r="105" spans="1:28" ht="13.35" customHeight="1" thickBot="1" x14ac:dyDescent="0.25">
      <c r="C105" s="488"/>
      <c r="D105" s="489"/>
      <c r="E105" s="489"/>
      <c r="F105" s="489"/>
      <c r="G105" s="489"/>
      <c r="H105" s="489"/>
      <c r="I105" s="489"/>
      <c r="J105" s="79"/>
      <c r="K105" s="79"/>
      <c r="L105" s="79"/>
      <c r="M105" s="65"/>
      <c r="N105" s="262" t="s">
        <v>188</v>
      </c>
      <c r="O105" s="539">
        <f>COUNTIF(O74:O104,"1")</f>
        <v>0</v>
      </c>
      <c r="P105" s="490"/>
      <c r="Q105" s="490"/>
      <c r="R105" s="490"/>
      <c r="S105" s="490"/>
      <c r="T105" s="490"/>
      <c r="U105" s="490"/>
      <c r="V105" s="490"/>
      <c r="W105" s="85"/>
      <c r="X105" s="85"/>
      <c r="Y105" s="85"/>
      <c r="Z105" s="67"/>
      <c r="AA105" s="263" t="s">
        <v>188</v>
      </c>
      <c r="AB105" s="550">
        <f>COUNTIF(AB74:AB104,"1")</f>
        <v>0</v>
      </c>
    </row>
    <row r="106" spans="1:28" s="35" customFormat="1" ht="25.35" customHeight="1" thickBot="1" x14ac:dyDescent="0.25">
      <c r="A106" s="243"/>
      <c r="B106" s="243"/>
      <c r="C106" s="238" t="s">
        <v>6</v>
      </c>
      <c r="D106" s="239"/>
      <c r="E106" s="239"/>
      <c r="F106" s="239"/>
      <c r="G106" s="239"/>
      <c r="H106" s="239"/>
      <c r="I106" s="239"/>
      <c r="J106" s="239"/>
      <c r="K106" s="239"/>
      <c r="L106" s="239"/>
      <c r="M106" s="237"/>
      <c r="N106" s="237"/>
      <c r="O106" s="532"/>
      <c r="P106" s="261" t="s">
        <v>12</v>
      </c>
      <c r="Q106" s="261"/>
      <c r="R106" s="261"/>
      <c r="S106" s="261"/>
      <c r="T106" s="261"/>
      <c r="U106" s="261"/>
      <c r="V106" s="261"/>
      <c r="W106" s="261"/>
      <c r="X106" s="261"/>
      <c r="Y106" s="261"/>
      <c r="Z106" s="259"/>
      <c r="AA106" s="259"/>
      <c r="AB106" s="542"/>
    </row>
    <row r="107" spans="1:28" ht="13.35" customHeight="1" thickBot="1" x14ac:dyDescent="0.25">
      <c r="C107" s="499" t="s">
        <v>112</v>
      </c>
      <c r="D107" s="501" t="s">
        <v>100</v>
      </c>
      <c r="E107" s="503" t="s">
        <v>104</v>
      </c>
      <c r="F107" s="491" t="s">
        <v>101</v>
      </c>
      <c r="G107" s="244" t="s">
        <v>129</v>
      </c>
      <c r="H107" s="242"/>
      <c r="I107" s="494" t="s">
        <v>130</v>
      </c>
      <c r="J107" s="513" t="s">
        <v>131</v>
      </c>
      <c r="K107" s="494" t="s">
        <v>152</v>
      </c>
      <c r="L107" s="513" t="s">
        <v>132</v>
      </c>
      <c r="M107" s="497" t="s">
        <v>129</v>
      </c>
      <c r="N107" s="497" t="s">
        <v>144</v>
      </c>
      <c r="O107" s="533" t="s">
        <v>128</v>
      </c>
      <c r="P107" s="499" t="s">
        <v>112</v>
      </c>
      <c r="Q107" s="501" t="s">
        <v>100</v>
      </c>
      <c r="R107" s="503" t="s">
        <v>104</v>
      </c>
      <c r="S107" s="491" t="s">
        <v>101</v>
      </c>
      <c r="T107" s="244" t="s">
        <v>129</v>
      </c>
      <c r="U107" s="242"/>
      <c r="V107" s="494" t="s">
        <v>130</v>
      </c>
      <c r="W107" s="513" t="s">
        <v>131</v>
      </c>
      <c r="X107" s="494" t="s">
        <v>152</v>
      </c>
      <c r="Y107" s="513" t="s">
        <v>132</v>
      </c>
      <c r="Z107" s="497" t="s">
        <v>129</v>
      </c>
      <c r="AA107" s="497" t="s">
        <v>144</v>
      </c>
      <c r="AB107" s="533" t="s">
        <v>128</v>
      </c>
    </row>
    <row r="108" spans="1:28" ht="13.35" customHeight="1" thickBot="1" x14ac:dyDescent="0.25">
      <c r="C108" s="500"/>
      <c r="D108" s="502"/>
      <c r="E108" s="504"/>
      <c r="F108" s="492"/>
      <c r="G108" s="47" t="s">
        <v>102</v>
      </c>
      <c r="H108" s="89" t="s">
        <v>103</v>
      </c>
      <c r="I108" s="496"/>
      <c r="J108" s="514"/>
      <c r="K108" s="496"/>
      <c r="L108" s="514"/>
      <c r="M108" s="498"/>
      <c r="N108" s="498"/>
      <c r="O108" s="534"/>
      <c r="P108" s="515"/>
      <c r="Q108" s="517"/>
      <c r="R108" s="516"/>
      <c r="S108" s="493"/>
      <c r="T108" s="49" t="s">
        <v>102</v>
      </c>
      <c r="U108" s="50" t="s">
        <v>103</v>
      </c>
      <c r="V108" s="495"/>
      <c r="W108" s="518"/>
      <c r="X108" s="495"/>
      <c r="Y108" s="518"/>
      <c r="Z108" s="519"/>
      <c r="AA108" s="519"/>
      <c r="AB108" s="547"/>
    </row>
    <row r="109" spans="1:28" ht="13.35" customHeight="1" x14ac:dyDescent="0.2">
      <c r="A109">
        <v>4</v>
      </c>
      <c r="B109">
        <v>1</v>
      </c>
      <c r="C109" s="58">
        <f>DATE(Anno,4,1)</f>
        <v>45748</v>
      </c>
      <c r="D109" s="40">
        <f>C109</f>
        <v>45748</v>
      </c>
      <c r="E109" s="150"/>
      <c r="F109" s="151"/>
      <c r="G109" s="138"/>
      <c r="H109" s="138"/>
      <c r="I109" s="71">
        <f t="shared" ref="I109:I139" si="18">IF(C109="","",IF(OR(G109="",H109=""),,IF(H109&lt;G109,MOD(H109-G109,1),H109-G109)))</f>
        <v>0</v>
      </c>
      <c r="J109" s="70"/>
      <c r="K109" s="76"/>
      <c r="L109" s="142"/>
      <c r="M109" s="143"/>
      <c r="N109" s="198"/>
      <c r="O109" s="536" t="str">
        <f t="shared" ref="O109:O139" si="19">IF(E109="d","1","")&amp;IF(E109="P","1","")&amp;IF(E109="FL","1","")&amp;IF(E109="IL","1","")&amp;IF(E109="V","1","")</f>
        <v/>
      </c>
      <c r="P109" s="53">
        <f>DATE(Anno,10,1)</f>
        <v>45931</v>
      </c>
      <c r="Q109" s="54">
        <f>P109</f>
        <v>45931</v>
      </c>
      <c r="R109" s="115"/>
      <c r="S109" s="252"/>
      <c r="T109" s="117"/>
      <c r="U109" s="117"/>
      <c r="V109" s="72">
        <f t="shared" ref="V109:V139" si="20">IF(P109="","",IF(OR(T109="",U109=""),,IF(U109&lt;T109,MOD(U109-T109,1),U109-T109)))</f>
        <v>0</v>
      </c>
      <c r="W109" s="253"/>
      <c r="X109" s="253"/>
      <c r="Y109" s="254"/>
      <c r="Z109" s="128"/>
      <c r="AA109" s="255"/>
      <c r="AB109" s="548" t="str">
        <f t="shared" ref="AB109:AB139" si="21">IF(R109="d","1","")&amp;IF(R109="P","1","")&amp;IF(R109="FL","1","")&amp;IF(R109="IL","1","")&amp;IF(R109="V","1","")</f>
        <v/>
      </c>
    </row>
    <row r="110" spans="1:28" ht="13.35" customHeight="1" x14ac:dyDescent="0.2">
      <c r="A110">
        <v>4</v>
      </c>
      <c r="B110">
        <v>2</v>
      </c>
      <c r="C110" s="55">
        <f>DATE(Anno,4,2)</f>
        <v>45749</v>
      </c>
      <c r="D110" s="40">
        <f t="shared" ref="D110:D138" si="22">C110</f>
        <v>45749</v>
      </c>
      <c r="E110" s="118"/>
      <c r="F110" s="151"/>
      <c r="G110" s="120"/>
      <c r="H110" s="120"/>
      <c r="I110" s="71">
        <f t="shared" si="18"/>
        <v>0</v>
      </c>
      <c r="J110" s="70"/>
      <c r="K110" s="70"/>
      <c r="L110" s="131"/>
      <c r="M110" s="134"/>
      <c r="N110" s="196"/>
      <c r="O110" s="536" t="str">
        <f t="shared" si="19"/>
        <v/>
      </c>
      <c r="P110" s="55">
        <f>DATE(Anno,10,2)</f>
        <v>45932</v>
      </c>
      <c r="Q110" s="51">
        <f t="shared" ref="Q110:Q138" si="23">P110</f>
        <v>45932</v>
      </c>
      <c r="R110" s="118"/>
      <c r="S110" s="139"/>
      <c r="T110" s="120"/>
      <c r="U110" s="120"/>
      <c r="V110" s="71">
        <f t="shared" si="20"/>
        <v>0</v>
      </c>
      <c r="W110" s="77"/>
      <c r="X110" s="77"/>
      <c r="Y110" s="146"/>
      <c r="Z110" s="134"/>
      <c r="AA110" s="186"/>
      <c r="AB110" s="544" t="str">
        <f t="shared" si="21"/>
        <v/>
      </c>
    </row>
    <row r="111" spans="1:28" ht="13.35" customHeight="1" x14ac:dyDescent="0.2">
      <c r="A111">
        <v>4</v>
      </c>
      <c r="B111">
        <v>3</v>
      </c>
      <c r="C111" s="55">
        <f>DATE(Anno,4,3)</f>
        <v>45750</v>
      </c>
      <c r="D111" s="40">
        <f t="shared" si="22"/>
        <v>45750</v>
      </c>
      <c r="E111" s="118"/>
      <c r="F111" s="151"/>
      <c r="G111" s="120"/>
      <c r="H111" s="120"/>
      <c r="I111" s="71">
        <f t="shared" si="18"/>
        <v>0</v>
      </c>
      <c r="J111" s="70"/>
      <c r="K111" s="70"/>
      <c r="L111" s="131"/>
      <c r="M111" s="134"/>
      <c r="N111" s="196"/>
      <c r="O111" s="536" t="str">
        <f t="shared" si="19"/>
        <v/>
      </c>
      <c r="P111" s="55">
        <f>DATE(Anno,10,3)</f>
        <v>45933</v>
      </c>
      <c r="Q111" s="51">
        <f t="shared" si="23"/>
        <v>45933</v>
      </c>
      <c r="R111" s="118"/>
      <c r="S111" s="139"/>
      <c r="T111" s="120"/>
      <c r="U111" s="120"/>
      <c r="V111" s="71">
        <f t="shared" si="20"/>
        <v>0</v>
      </c>
      <c r="W111" s="70"/>
      <c r="X111" s="70"/>
      <c r="Y111" s="131"/>
      <c r="Z111" s="145"/>
      <c r="AA111" s="188"/>
      <c r="AB111" s="544" t="str">
        <f t="shared" si="21"/>
        <v/>
      </c>
    </row>
    <row r="112" spans="1:28" ht="13.35" customHeight="1" x14ac:dyDescent="0.2">
      <c r="A112">
        <v>4</v>
      </c>
      <c r="B112">
        <v>4</v>
      </c>
      <c r="C112" s="55">
        <f>DATE(Anno,4,4)</f>
        <v>45751</v>
      </c>
      <c r="D112" s="40">
        <f t="shared" si="22"/>
        <v>45751</v>
      </c>
      <c r="E112" s="118"/>
      <c r="F112" s="151"/>
      <c r="G112" s="120"/>
      <c r="H112" s="120"/>
      <c r="I112" s="71">
        <f t="shared" si="18"/>
        <v>0</v>
      </c>
      <c r="J112" s="70"/>
      <c r="K112" s="70"/>
      <c r="L112" s="131"/>
      <c r="M112" s="134"/>
      <c r="N112" s="196"/>
      <c r="O112" s="536" t="str">
        <f t="shared" si="19"/>
        <v/>
      </c>
      <c r="P112" s="55">
        <f>DATE(Anno,10,4)</f>
        <v>45934</v>
      </c>
      <c r="Q112" s="51">
        <f t="shared" si="23"/>
        <v>45934</v>
      </c>
      <c r="R112" s="118"/>
      <c r="S112" s="121"/>
      <c r="T112" s="120"/>
      <c r="U112" s="120"/>
      <c r="V112" s="71">
        <f t="shared" si="20"/>
        <v>0</v>
      </c>
      <c r="W112" s="70"/>
      <c r="X112" s="70"/>
      <c r="Y112" s="131"/>
      <c r="Z112" s="134"/>
      <c r="AA112" s="186"/>
      <c r="AB112" s="544" t="str">
        <f t="shared" si="21"/>
        <v/>
      </c>
    </row>
    <row r="113" spans="1:28" ht="13.35" customHeight="1" x14ac:dyDescent="0.2">
      <c r="A113">
        <v>4</v>
      </c>
      <c r="B113">
        <v>5</v>
      </c>
      <c r="C113" s="55">
        <f>DATE(Anno,4,5)</f>
        <v>45752</v>
      </c>
      <c r="D113" s="40">
        <f t="shared" si="22"/>
        <v>45752</v>
      </c>
      <c r="E113" s="118"/>
      <c r="F113" s="121"/>
      <c r="G113" s="120"/>
      <c r="H113" s="120"/>
      <c r="I113" s="71">
        <f t="shared" si="18"/>
        <v>0</v>
      </c>
      <c r="J113" s="70"/>
      <c r="K113" s="70"/>
      <c r="L113" s="131"/>
      <c r="M113" s="132"/>
      <c r="N113" s="196"/>
      <c r="O113" s="536" t="str">
        <f t="shared" si="19"/>
        <v/>
      </c>
      <c r="P113" s="55">
        <f>DATE(Anno,10,5)</f>
        <v>45935</v>
      </c>
      <c r="Q113" s="51">
        <f t="shared" si="23"/>
        <v>45935</v>
      </c>
      <c r="R113" s="118"/>
      <c r="S113" s="121"/>
      <c r="T113" s="120"/>
      <c r="U113" s="120"/>
      <c r="V113" s="71">
        <f t="shared" si="20"/>
        <v>0</v>
      </c>
      <c r="W113" s="71"/>
      <c r="X113" s="71"/>
      <c r="Y113" s="129"/>
      <c r="Z113" s="132"/>
      <c r="AA113" s="187"/>
      <c r="AB113" s="544" t="str">
        <f t="shared" si="21"/>
        <v/>
      </c>
    </row>
    <row r="114" spans="1:28" ht="13.35" customHeight="1" x14ac:dyDescent="0.2">
      <c r="A114">
        <v>4</v>
      </c>
      <c r="B114">
        <v>6</v>
      </c>
      <c r="C114" s="55">
        <f>DATE(Anno,4,6)</f>
        <v>45753</v>
      </c>
      <c r="D114" s="40">
        <f t="shared" si="22"/>
        <v>45753</v>
      </c>
      <c r="E114" s="118"/>
      <c r="F114" s="121"/>
      <c r="G114" s="120"/>
      <c r="H114" s="120"/>
      <c r="I114" s="71">
        <f t="shared" si="18"/>
        <v>0</v>
      </c>
      <c r="J114" s="70"/>
      <c r="K114" s="70"/>
      <c r="L114" s="131"/>
      <c r="M114" s="134"/>
      <c r="N114" s="196"/>
      <c r="O114" s="536" t="str">
        <f t="shared" si="19"/>
        <v/>
      </c>
      <c r="P114" s="55">
        <f>DATE(Anno,10,6)</f>
        <v>45936</v>
      </c>
      <c r="Q114" s="51">
        <f t="shared" si="23"/>
        <v>45936</v>
      </c>
      <c r="R114" s="118"/>
      <c r="S114" s="121"/>
      <c r="T114" s="120"/>
      <c r="U114" s="120"/>
      <c r="V114" s="71">
        <f t="shared" si="20"/>
        <v>0</v>
      </c>
      <c r="W114" s="70"/>
      <c r="X114" s="70"/>
      <c r="Y114" s="146"/>
      <c r="Z114" s="134"/>
      <c r="AA114" s="186"/>
      <c r="AB114" s="544" t="str">
        <f t="shared" si="21"/>
        <v/>
      </c>
    </row>
    <row r="115" spans="1:28" ht="13.35" customHeight="1" x14ac:dyDescent="0.2">
      <c r="A115">
        <v>4</v>
      </c>
      <c r="B115">
        <v>7</v>
      </c>
      <c r="C115" s="55">
        <f>DATE(Anno,4,7)</f>
        <v>45754</v>
      </c>
      <c r="D115" s="40">
        <f t="shared" si="22"/>
        <v>45754</v>
      </c>
      <c r="E115" s="118"/>
      <c r="F115" s="151"/>
      <c r="G115" s="120"/>
      <c r="H115" s="120"/>
      <c r="I115" s="71">
        <f t="shared" si="18"/>
        <v>0</v>
      </c>
      <c r="J115" s="70"/>
      <c r="K115" s="70"/>
      <c r="L115" s="131"/>
      <c r="M115" s="132"/>
      <c r="N115" s="196"/>
      <c r="O115" s="536" t="str">
        <f t="shared" si="19"/>
        <v/>
      </c>
      <c r="P115" s="55">
        <f>DATE(Anno,10,7)</f>
        <v>45937</v>
      </c>
      <c r="Q115" s="51">
        <f t="shared" si="23"/>
        <v>45937</v>
      </c>
      <c r="R115" s="118"/>
      <c r="S115" s="140"/>
      <c r="T115" s="120"/>
      <c r="U115" s="120"/>
      <c r="V115" s="71">
        <f t="shared" si="20"/>
        <v>0</v>
      </c>
      <c r="W115" s="77"/>
      <c r="X115" s="77"/>
      <c r="Y115" s="146"/>
      <c r="Z115" s="145"/>
      <c r="AA115" s="188"/>
      <c r="AB115" s="544" t="str">
        <f t="shared" si="21"/>
        <v/>
      </c>
    </row>
    <row r="116" spans="1:28" ht="13.35" customHeight="1" x14ac:dyDescent="0.2">
      <c r="A116">
        <v>4</v>
      </c>
      <c r="B116">
        <v>8</v>
      </c>
      <c r="C116" s="55">
        <f>DATE(Anno,4,8)</f>
        <v>45755</v>
      </c>
      <c r="D116" s="40">
        <f t="shared" si="22"/>
        <v>45755</v>
      </c>
      <c r="E116" s="118"/>
      <c r="F116" s="151"/>
      <c r="G116" s="120"/>
      <c r="H116" s="120"/>
      <c r="I116" s="71">
        <f t="shared" si="18"/>
        <v>0</v>
      </c>
      <c r="J116" s="70"/>
      <c r="K116" s="70"/>
      <c r="L116" s="131"/>
      <c r="M116" s="134"/>
      <c r="N116" s="196"/>
      <c r="O116" s="536" t="str">
        <f t="shared" si="19"/>
        <v/>
      </c>
      <c r="P116" s="55">
        <f>DATE(Anno,10,8)</f>
        <v>45938</v>
      </c>
      <c r="Q116" s="51">
        <f t="shared" si="23"/>
        <v>45938</v>
      </c>
      <c r="R116" s="118"/>
      <c r="S116" s="140"/>
      <c r="T116" s="120"/>
      <c r="U116" s="120"/>
      <c r="V116" s="71">
        <f t="shared" si="20"/>
        <v>0</v>
      </c>
      <c r="W116" s="77"/>
      <c r="X116" s="77"/>
      <c r="Y116" s="146"/>
      <c r="Z116" s="134"/>
      <c r="AA116" s="186"/>
      <c r="AB116" s="544" t="str">
        <f t="shared" si="21"/>
        <v/>
      </c>
    </row>
    <row r="117" spans="1:28" ht="13.35" customHeight="1" x14ac:dyDescent="0.2">
      <c r="A117">
        <v>4</v>
      </c>
      <c r="B117">
        <v>9</v>
      </c>
      <c r="C117" s="55">
        <f>DATE(Anno,4,9)</f>
        <v>45756</v>
      </c>
      <c r="D117" s="40">
        <f t="shared" si="22"/>
        <v>45756</v>
      </c>
      <c r="E117" s="118"/>
      <c r="F117" s="151"/>
      <c r="G117" s="120"/>
      <c r="H117" s="120"/>
      <c r="I117" s="71">
        <f t="shared" si="18"/>
        <v>0</v>
      </c>
      <c r="J117" s="70"/>
      <c r="K117" s="70"/>
      <c r="L117" s="131"/>
      <c r="M117" s="132"/>
      <c r="N117" s="196"/>
      <c r="O117" s="536" t="str">
        <f t="shared" si="19"/>
        <v/>
      </c>
      <c r="P117" s="55">
        <f>DATE(Anno,10,9)</f>
        <v>45939</v>
      </c>
      <c r="Q117" s="51">
        <f t="shared" si="23"/>
        <v>45939</v>
      </c>
      <c r="R117" s="118"/>
      <c r="S117" s="139"/>
      <c r="T117" s="120"/>
      <c r="U117" s="120"/>
      <c r="V117" s="71">
        <f t="shared" si="20"/>
        <v>0</v>
      </c>
      <c r="W117" s="83"/>
      <c r="X117" s="83"/>
      <c r="Y117" s="144"/>
      <c r="Z117" s="134"/>
      <c r="AA117" s="186"/>
      <c r="AB117" s="544" t="str">
        <f t="shared" si="21"/>
        <v/>
      </c>
    </row>
    <row r="118" spans="1:28" ht="13.35" customHeight="1" x14ac:dyDescent="0.2">
      <c r="A118">
        <v>4</v>
      </c>
      <c r="B118">
        <v>10</v>
      </c>
      <c r="C118" s="55">
        <f>DATE(Anno,4,10)</f>
        <v>45757</v>
      </c>
      <c r="D118" s="40">
        <f t="shared" si="22"/>
        <v>45757</v>
      </c>
      <c r="E118" s="118"/>
      <c r="F118" s="151"/>
      <c r="G118" s="120"/>
      <c r="H118" s="120"/>
      <c r="I118" s="71">
        <f t="shared" si="18"/>
        <v>0</v>
      </c>
      <c r="J118" s="70"/>
      <c r="K118" s="70"/>
      <c r="L118" s="131"/>
      <c r="M118" s="132"/>
      <c r="N118" s="196"/>
      <c r="O118" s="536" t="str">
        <f t="shared" si="19"/>
        <v/>
      </c>
      <c r="P118" s="55">
        <f>DATE(Anno,10,10)</f>
        <v>45940</v>
      </c>
      <c r="Q118" s="51">
        <f t="shared" si="23"/>
        <v>45940</v>
      </c>
      <c r="R118" s="118"/>
      <c r="S118" s="139"/>
      <c r="T118" s="120"/>
      <c r="U118" s="120"/>
      <c r="V118" s="71">
        <f t="shared" si="20"/>
        <v>0</v>
      </c>
      <c r="W118" s="70"/>
      <c r="X118" s="70"/>
      <c r="Y118" s="146"/>
      <c r="Z118" s="134"/>
      <c r="AA118" s="186"/>
      <c r="AB118" s="544" t="str">
        <f t="shared" si="21"/>
        <v/>
      </c>
    </row>
    <row r="119" spans="1:28" ht="13.35" customHeight="1" x14ac:dyDescent="0.2">
      <c r="A119">
        <v>4</v>
      </c>
      <c r="B119">
        <v>11</v>
      </c>
      <c r="C119" s="55">
        <f>DATE(Anno,4,11)</f>
        <v>45758</v>
      </c>
      <c r="D119" s="40">
        <f t="shared" si="22"/>
        <v>45758</v>
      </c>
      <c r="E119" s="118"/>
      <c r="F119" s="151"/>
      <c r="G119" s="120"/>
      <c r="H119" s="120"/>
      <c r="I119" s="71">
        <f t="shared" si="18"/>
        <v>0</v>
      </c>
      <c r="J119" s="73"/>
      <c r="K119" s="73"/>
      <c r="L119" s="131"/>
      <c r="M119" s="134"/>
      <c r="N119" s="196"/>
      <c r="O119" s="536" t="str">
        <f t="shared" si="19"/>
        <v/>
      </c>
      <c r="P119" s="55">
        <f>DATE(Anno,10,11)</f>
        <v>45941</v>
      </c>
      <c r="Q119" s="51">
        <f t="shared" si="23"/>
        <v>45941</v>
      </c>
      <c r="R119" s="118"/>
      <c r="S119" s="140"/>
      <c r="T119" s="120"/>
      <c r="U119" s="120"/>
      <c r="V119" s="71">
        <f t="shared" si="20"/>
        <v>0</v>
      </c>
      <c r="W119" s="77"/>
      <c r="X119" s="77"/>
      <c r="Y119" s="146"/>
      <c r="Z119" s="134"/>
      <c r="AA119" s="186"/>
      <c r="AB119" s="544" t="str">
        <f t="shared" si="21"/>
        <v/>
      </c>
    </row>
    <row r="120" spans="1:28" ht="13.35" customHeight="1" x14ac:dyDescent="0.2">
      <c r="A120">
        <v>4</v>
      </c>
      <c r="B120">
        <v>12</v>
      </c>
      <c r="C120" s="55">
        <f>DATE(Anno,4,12)</f>
        <v>45759</v>
      </c>
      <c r="D120" s="40">
        <f t="shared" si="22"/>
        <v>45759</v>
      </c>
      <c r="E120" s="118"/>
      <c r="F120" s="151"/>
      <c r="G120" s="120"/>
      <c r="H120" s="120"/>
      <c r="I120" s="71">
        <f t="shared" si="18"/>
        <v>0</v>
      </c>
      <c r="J120" s="70"/>
      <c r="K120" s="70"/>
      <c r="L120" s="131"/>
      <c r="M120" s="134"/>
      <c r="N120" s="196"/>
      <c r="O120" s="536" t="str">
        <f t="shared" si="19"/>
        <v/>
      </c>
      <c r="P120" s="55">
        <f>DATE(Anno,10,12)</f>
        <v>45942</v>
      </c>
      <c r="Q120" s="51">
        <f t="shared" si="23"/>
        <v>45942</v>
      </c>
      <c r="R120" s="118"/>
      <c r="S120" s="140"/>
      <c r="T120" s="120"/>
      <c r="U120" s="120"/>
      <c r="V120" s="71">
        <f t="shared" si="20"/>
        <v>0</v>
      </c>
      <c r="W120" s="77"/>
      <c r="X120" s="77"/>
      <c r="Y120" s="146"/>
      <c r="Z120" s="145"/>
      <c r="AA120" s="188"/>
      <c r="AB120" s="544" t="str">
        <f t="shared" si="21"/>
        <v/>
      </c>
    </row>
    <row r="121" spans="1:28" ht="13.35" customHeight="1" x14ac:dyDescent="0.2">
      <c r="A121">
        <v>4</v>
      </c>
      <c r="B121">
        <v>13</v>
      </c>
      <c r="C121" s="55">
        <f>DATE(Anno,4,13)</f>
        <v>45760</v>
      </c>
      <c r="D121" s="40">
        <f t="shared" si="22"/>
        <v>45760</v>
      </c>
      <c r="E121" s="118"/>
      <c r="F121" s="151"/>
      <c r="G121" s="120"/>
      <c r="H121" s="120"/>
      <c r="I121" s="71">
        <f t="shared" si="18"/>
        <v>0</v>
      </c>
      <c r="J121" s="70"/>
      <c r="K121" s="70"/>
      <c r="L121" s="131"/>
      <c r="M121" s="132"/>
      <c r="N121" s="196"/>
      <c r="O121" s="536" t="str">
        <f t="shared" si="19"/>
        <v/>
      </c>
      <c r="P121" s="55">
        <f>DATE(Anno,10,13)</f>
        <v>45943</v>
      </c>
      <c r="Q121" s="51">
        <f t="shared" si="23"/>
        <v>45943</v>
      </c>
      <c r="R121" s="118"/>
      <c r="S121" s="140"/>
      <c r="T121" s="120"/>
      <c r="U121" s="120"/>
      <c r="V121" s="71">
        <f t="shared" si="20"/>
        <v>0</v>
      </c>
      <c r="W121" s="70"/>
      <c r="X121" s="70"/>
      <c r="Y121" s="146"/>
      <c r="Z121" s="145"/>
      <c r="AA121" s="188"/>
      <c r="AB121" s="544" t="str">
        <f t="shared" si="21"/>
        <v/>
      </c>
    </row>
    <row r="122" spans="1:28" ht="13.35" customHeight="1" x14ac:dyDescent="0.2">
      <c r="A122">
        <v>4</v>
      </c>
      <c r="B122">
        <v>14</v>
      </c>
      <c r="C122" s="55">
        <f>DATE(Anno,4,14)</f>
        <v>45761</v>
      </c>
      <c r="D122" s="40">
        <f t="shared" si="22"/>
        <v>45761</v>
      </c>
      <c r="E122" s="118"/>
      <c r="F122" s="151"/>
      <c r="G122" s="120"/>
      <c r="H122" s="120"/>
      <c r="I122" s="71">
        <f t="shared" si="18"/>
        <v>0</v>
      </c>
      <c r="J122" s="70"/>
      <c r="K122" s="70"/>
      <c r="L122" s="131"/>
      <c r="M122" s="134"/>
      <c r="N122" s="196"/>
      <c r="O122" s="536" t="str">
        <f t="shared" si="19"/>
        <v/>
      </c>
      <c r="P122" s="55">
        <f>DATE(Anno,10,14)</f>
        <v>45944</v>
      </c>
      <c r="Q122" s="51">
        <f t="shared" si="23"/>
        <v>45944</v>
      </c>
      <c r="R122" s="118"/>
      <c r="S122" s="140"/>
      <c r="T122" s="120"/>
      <c r="U122" s="120"/>
      <c r="V122" s="71">
        <f t="shared" si="20"/>
        <v>0</v>
      </c>
      <c r="W122" s="77"/>
      <c r="X122" s="77"/>
      <c r="Y122" s="146"/>
      <c r="Z122" s="134"/>
      <c r="AA122" s="186"/>
      <c r="AB122" s="544" t="str">
        <f t="shared" si="21"/>
        <v/>
      </c>
    </row>
    <row r="123" spans="1:28" ht="13.35" customHeight="1" x14ac:dyDescent="0.2">
      <c r="A123">
        <v>4</v>
      </c>
      <c r="B123">
        <v>15</v>
      </c>
      <c r="C123" s="55">
        <f>DATE(Anno,4,15)</f>
        <v>45762</v>
      </c>
      <c r="D123" s="40">
        <f t="shared" si="22"/>
        <v>45762</v>
      </c>
      <c r="E123" s="118"/>
      <c r="F123" s="151"/>
      <c r="G123" s="120"/>
      <c r="H123" s="120"/>
      <c r="I123" s="71">
        <f t="shared" si="18"/>
        <v>0</v>
      </c>
      <c r="J123" s="70"/>
      <c r="K123" s="70"/>
      <c r="L123" s="129"/>
      <c r="M123" s="134"/>
      <c r="N123" s="196"/>
      <c r="O123" s="536" t="str">
        <f t="shared" si="19"/>
        <v/>
      </c>
      <c r="P123" s="55">
        <f>DATE(Anno,10,15)</f>
        <v>45945</v>
      </c>
      <c r="Q123" s="51">
        <f t="shared" si="23"/>
        <v>45945</v>
      </c>
      <c r="R123" s="118"/>
      <c r="S123" s="140"/>
      <c r="T123" s="120"/>
      <c r="U123" s="120"/>
      <c r="V123" s="71">
        <f t="shared" si="20"/>
        <v>0</v>
      </c>
      <c r="W123" s="70"/>
      <c r="X123" s="70"/>
      <c r="Y123" s="131"/>
      <c r="Z123" s="134"/>
      <c r="AA123" s="186"/>
      <c r="AB123" s="544" t="str">
        <f t="shared" si="21"/>
        <v/>
      </c>
    </row>
    <row r="124" spans="1:28" ht="13.35" customHeight="1" x14ac:dyDescent="0.2">
      <c r="A124">
        <v>4</v>
      </c>
      <c r="B124">
        <v>16</v>
      </c>
      <c r="C124" s="55">
        <f>DATE(Anno,4,16)</f>
        <v>45763</v>
      </c>
      <c r="D124" s="40">
        <f t="shared" si="22"/>
        <v>45763</v>
      </c>
      <c r="E124" s="118"/>
      <c r="F124" s="151"/>
      <c r="G124" s="120"/>
      <c r="H124" s="120"/>
      <c r="I124" s="71">
        <f t="shared" si="18"/>
        <v>0</v>
      </c>
      <c r="J124" s="70"/>
      <c r="K124" s="70"/>
      <c r="L124" s="129"/>
      <c r="M124" s="132"/>
      <c r="N124" s="196"/>
      <c r="O124" s="536" t="str">
        <f t="shared" si="19"/>
        <v/>
      </c>
      <c r="P124" s="55">
        <f>DATE(Anno,10,16)</f>
        <v>45946</v>
      </c>
      <c r="Q124" s="51">
        <f t="shared" si="23"/>
        <v>45946</v>
      </c>
      <c r="R124" s="118"/>
      <c r="S124" s="122"/>
      <c r="T124" s="120"/>
      <c r="U124" s="120"/>
      <c r="V124" s="71">
        <f t="shared" si="20"/>
        <v>0</v>
      </c>
      <c r="W124" s="70"/>
      <c r="X124" s="70"/>
      <c r="Y124" s="131"/>
      <c r="Z124" s="134"/>
      <c r="AA124" s="186"/>
      <c r="AB124" s="544" t="str">
        <f t="shared" si="21"/>
        <v/>
      </c>
    </row>
    <row r="125" spans="1:28" ht="13.35" customHeight="1" x14ac:dyDescent="0.2">
      <c r="A125">
        <v>4</v>
      </c>
      <c r="B125">
        <v>17</v>
      </c>
      <c r="C125" s="55">
        <f>DATE(Anno,4,17)</f>
        <v>45764</v>
      </c>
      <c r="D125" s="40">
        <f t="shared" si="22"/>
        <v>45764</v>
      </c>
      <c r="E125" s="118"/>
      <c r="F125" s="151"/>
      <c r="G125" s="120"/>
      <c r="H125" s="120"/>
      <c r="I125" s="71">
        <f t="shared" si="18"/>
        <v>0</v>
      </c>
      <c r="J125" s="70"/>
      <c r="K125" s="70"/>
      <c r="L125" s="129"/>
      <c r="M125" s="134"/>
      <c r="N125" s="196"/>
      <c r="O125" s="536" t="str">
        <f t="shared" si="19"/>
        <v/>
      </c>
      <c r="P125" s="55">
        <f>DATE(Anno,10,17)</f>
        <v>45947</v>
      </c>
      <c r="Q125" s="51">
        <f t="shared" si="23"/>
        <v>45947</v>
      </c>
      <c r="R125" s="118"/>
      <c r="S125" s="140"/>
      <c r="T125" s="120"/>
      <c r="U125" s="120"/>
      <c r="V125" s="71">
        <f t="shared" si="20"/>
        <v>0</v>
      </c>
      <c r="W125" s="77"/>
      <c r="X125" s="77"/>
      <c r="Y125" s="146"/>
      <c r="Z125" s="134"/>
      <c r="AA125" s="186"/>
      <c r="AB125" s="544" t="str">
        <f t="shared" si="21"/>
        <v/>
      </c>
    </row>
    <row r="126" spans="1:28" ht="13.35" customHeight="1" x14ac:dyDescent="0.2">
      <c r="A126">
        <v>4</v>
      </c>
      <c r="B126">
        <v>18</v>
      </c>
      <c r="C126" s="55">
        <f>DATE(Anno,4,18)</f>
        <v>45765</v>
      </c>
      <c r="D126" s="40">
        <f t="shared" si="22"/>
        <v>45765</v>
      </c>
      <c r="E126" s="118"/>
      <c r="F126" s="151"/>
      <c r="G126" s="120"/>
      <c r="H126" s="120"/>
      <c r="I126" s="71">
        <f t="shared" si="18"/>
        <v>0</v>
      </c>
      <c r="J126" s="73"/>
      <c r="K126" s="73"/>
      <c r="L126" s="131"/>
      <c r="M126" s="132"/>
      <c r="N126" s="196"/>
      <c r="O126" s="536" t="str">
        <f t="shared" si="19"/>
        <v/>
      </c>
      <c r="P126" s="55">
        <f>DATE(Anno,10,18)</f>
        <v>45948</v>
      </c>
      <c r="Q126" s="51">
        <f t="shared" si="23"/>
        <v>45948</v>
      </c>
      <c r="R126" s="118"/>
      <c r="S126" s="140"/>
      <c r="T126" s="120"/>
      <c r="U126" s="120"/>
      <c r="V126" s="71">
        <f t="shared" si="20"/>
        <v>0</v>
      </c>
      <c r="W126" s="77"/>
      <c r="X126" s="77"/>
      <c r="Y126" s="146"/>
      <c r="Z126" s="134"/>
      <c r="AA126" s="186"/>
      <c r="AB126" s="544" t="str">
        <f t="shared" si="21"/>
        <v/>
      </c>
    </row>
    <row r="127" spans="1:28" ht="13.35" customHeight="1" x14ac:dyDescent="0.2">
      <c r="A127">
        <v>4</v>
      </c>
      <c r="B127">
        <v>19</v>
      </c>
      <c r="C127" s="55">
        <f>DATE(Anno,4,19)</f>
        <v>45766</v>
      </c>
      <c r="D127" s="40">
        <f t="shared" si="22"/>
        <v>45766</v>
      </c>
      <c r="E127" s="118"/>
      <c r="F127" s="121"/>
      <c r="G127" s="120"/>
      <c r="H127" s="120"/>
      <c r="I127" s="71">
        <f t="shared" si="18"/>
        <v>0</v>
      </c>
      <c r="J127" s="70"/>
      <c r="K127" s="70"/>
      <c r="L127" s="131"/>
      <c r="M127" s="132"/>
      <c r="N127" s="196"/>
      <c r="O127" s="536" t="str">
        <f t="shared" si="19"/>
        <v/>
      </c>
      <c r="P127" s="55">
        <f>DATE(Anno,10,19)</f>
        <v>45949</v>
      </c>
      <c r="Q127" s="51">
        <f t="shared" si="23"/>
        <v>45949</v>
      </c>
      <c r="R127" s="118"/>
      <c r="S127" s="140"/>
      <c r="T127" s="120"/>
      <c r="U127" s="120"/>
      <c r="V127" s="71">
        <f t="shared" si="20"/>
        <v>0</v>
      </c>
      <c r="W127" s="77"/>
      <c r="X127" s="77"/>
      <c r="Y127" s="146"/>
      <c r="Z127" s="145"/>
      <c r="AA127" s="188"/>
      <c r="AB127" s="544" t="str">
        <f t="shared" si="21"/>
        <v/>
      </c>
    </row>
    <row r="128" spans="1:28" ht="13.35" customHeight="1" x14ac:dyDescent="0.2">
      <c r="A128">
        <v>4</v>
      </c>
      <c r="B128">
        <v>20</v>
      </c>
      <c r="C128" s="55">
        <f>DATE(Anno,4,20)</f>
        <v>45767</v>
      </c>
      <c r="D128" s="40">
        <f t="shared" si="22"/>
        <v>45767</v>
      </c>
      <c r="E128" s="118"/>
      <c r="F128" s="151"/>
      <c r="G128" s="120"/>
      <c r="H128" s="120"/>
      <c r="I128" s="71">
        <f t="shared" si="18"/>
        <v>0</v>
      </c>
      <c r="J128" s="71"/>
      <c r="K128" s="71"/>
      <c r="L128" s="129"/>
      <c r="M128" s="134"/>
      <c r="N128" s="196"/>
      <c r="O128" s="536" t="str">
        <f t="shared" si="19"/>
        <v/>
      </c>
      <c r="P128" s="55">
        <f>DATE(Anno,10,20)</f>
        <v>45950</v>
      </c>
      <c r="Q128" s="51">
        <f t="shared" si="23"/>
        <v>45950</v>
      </c>
      <c r="R128" s="118"/>
      <c r="S128" s="122"/>
      <c r="T128" s="120"/>
      <c r="U128" s="120"/>
      <c r="V128" s="71">
        <f t="shared" si="20"/>
        <v>0</v>
      </c>
      <c r="W128" s="70"/>
      <c r="X128" s="70"/>
      <c r="Y128" s="144"/>
      <c r="Z128" s="160"/>
      <c r="AA128" s="189"/>
      <c r="AB128" s="544" t="str">
        <f t="shared" si="21"/>
        <v/>
      </c>
    </row>
    <row r="129" spans="1:28" ht="13.35" customHeight="1" x14ac:dyDescent="0.2">
      <c r="A129">
        <v>4</v>
      </c>
      <c r="B129">
        <v>21</v>
      </c>
      <c r="C129" s="55">
        <f>DATE(Anno,4,21)</f>
        <v>45768</v>
      </c>
      <c r="D129" s="40">
        <f t="shared" si="22"/>
        <v>45768</v>
      </c>
      <c r="E129" s="118"/>
      <c r="F129" s="121"/>
      <c r="G129" s="120"/>
      <c r="H129" s="120"/>
      <c r="I129" s="71">
        <f t="shared" si="18"/>
        <v>0</v>
      </c>
      <c r="J129" s="70"/>
      <c r="K129" s="70"/>
      <c r="L129" s="129"/>
      <c r="M129" s="132"/>
      <c r="N129" s="196"/>
      <c r="O129" s="536" t="str">
        <f t="shared" si="19"/>
        <v/>
      </c>
      <c r="P129" s="55">
        <f>DATE(Anno,10,21)</f>
        <v>45951</v>
      </c>
      <c r="Q129" s="51">
        <f t="shared" si="23"/>
        <v>45951</v>
      </c>
      <c r="R129" s="118"/>
      <c r="S129" s="122"/>
      <c r="T129" s="120"/>
      <c r="U129" s="120"/>
      <c r="V129" s="71">
        <f t="shared" si="20"/>
        <v>0</v>
      </c>
      <c r="W129" s="83"/>
      <c r="X129" s="83"/>
      <c r="Y129" s="144"/>
      <c r="Z129" s="132"/>
      <c r="AA129" s="187"/>
      <c r="AB129" s="544" t="str">
        <f t="shared" si="21"/>
        <v/>
      </c>
    </row>
    <row r="130" spans="1:28" ht="13.35" customHeight="1" x14ac:dyDescent="0.2">
      <c r="A130">
        <v>4</v>
      </c>
      <c r="B130">
        <v>22</v>
      </c>
      <c r="C130" s="55">
        <f>DATE(Anno,4,22)</f>
        <v>45769</v>
      </c>
      <c r="D130" s="40">
        <f t="shared" si="22"/>
        <v>45769</v>
      </c>
      <c r="E130" s="118"/>
      <c r="F130" s="151"/>
      <c r="G130" s="120"/>
      <c r="H130" s="120"/>
      <c r="I130" s="71">
        <f t="shared" si="18"/>
        <v>0</v>
      </c>
      <c r="J130" s="70"/>
      <c r="K130" s="70"/>
      <c r="L130" s="129"/>
      <c r="M130" s="132"/>
      <c r="N130" s="196"/>
      <c r="O130" s="536" t="str">
        <f t="shared" si="19"/>
        <v/>
      </c>
      <c r="P130" s="55">
        <f>DATE(Anno,10,22)</f>
        <v>45952</v>
      </c>
      <c r="Q130" s="51">
        <f t="shared" si="23"/>
        <v>45952</v>
      </c>
      <c r="R130" s="118"/>
      <c r="S130" s="122"/>
      <c r="T130" s="120"/>
      <c r="U130" s="120"/>
      <c r="V130" s="71">
        <f t="shared" si="20"/>
        <v>0</v>
      </c>
      <c r="W130" s="70"/>
      <c r="X130" s="70"/>
      <c r="Y130" s="131"/>
      <c r="Z130" s="134"/>
      <c r="AA130" s="186"/>
      <c r="AB130" s="544" t="str">
        <f t="shared" si="21"/>
        <v/>
      </c>
    </row>
    <row r="131" spans="1:28" ht="13.35" customHeight="1" x14ac:dyDescent="0.2">
      <c r="A131">
        <v>4</v>
      </c>
      <c r="B131">
        <v>23</v>
      </c>
      <c r="C131" s="55">
        <f>DATE(Anno,4,23)</f>
        <v>45770</v>
      </c>
      <c r="D131" s="40">
        <f t="shared" si="22"/>
        <v>45770</v>
      </c>
      <c r="E131" s="118"/>
      <c r="F131" s="151"/>
      <c r="G131" s="120"/>
      <c r="H131" s="120"/>
      <c r="I131" s="71">
        <f t="shared" si="18"/>
        <v>0</v>
      </c>
      <c r="J131" s="70"/>
      <c r="K131" s="70"/>
      <c r="L131" s="129"/>
      <c r="M131" s="134"/>
      <c r="N131" s="196"/>
      <c r="O131" s="536" t="str">
        <f t="shared" si="19"/>
        <v/>
      </c>
      <c r="P131" s="55">
        <f>DATE(Anno,10,23)</f>
        <v>45953</v>
      </c>
      <c r="Q131" s="51">
        <f t="shared" si="23"/>
        <v>45953</v>
      </c>
      <c r="R131" s="118"/>
      <c r="S131" s="139"/>
      <c r="T131" s="120"/>
      <c r="U131" s="120"/>
      <c r="V131" s="71">
        <f t="shared" si="20"/>
        <v>0</v>
      </c>
      <c r="W131" s="71"/>
      <c r="X131" s="71"/>
      <c r="Y131" s="129"/>
      <c r="Z131" s="132"/>
      <c r="AA131" s="187"/>
      <c r="AB131" s="544" t="str">
        <f t="shared" si="21"/>
        <v/>
      </c>
    </row>
    <row r="132" spans="1:28" ht="13.35" customHeight="1" x14ac:dyDescent="0.2">
      <c r="A132">
        <v>4</v>
      </c>
      <c r="B132">
        <v>24</v>
      </c>
      <c r="C132" s="55">
        <f>DATE(Anno,4,24)</f>
        <v>45771</v>
      </c>
      <c r="D132" s="40">
        <f t="shared" si="22"/>
        <v>45771</v>
      </c>
      <c r="E132" s="118"/>
      <c r="F132" s="151"/>
      <c r="G132" s="120"/>
      <c r="H132" s="120"/>
      <c r="I132" s="71">
        <f t="shared" si="18"/>
        <v>0</v>
      </c>
      <c r="J132" s="70"/>
      <c r="K132" s="70"/>
      <c r="L132" s="129"/>
      <c r="M132" s="134"/>
      <c r="N132" s="196"/>
      <c r="O132" s="536" t="str">
        <f t="shared" si="19"/>
        <v/>
      </c>
      <c r="P132" s="55">
        <f>DATE(Anno,10,24)</f>
        <v>45954</v>
      </c>
      <c r="Q132" s="51">
        <f t="shared" si="23"/>
        <v>45954</v>
      </c>
      <c r="R132" s="118"/>
      <c r="S132" s="139"/>
      <c r="T132" s="120"/>
      <c r="U132" s="120"/>
      <c r="V132" s="71">
        <f t="shared" si="20"/>
        <v>0</v>
      </c>
      <c r="W132" s="83"/>
      <c r="X132" s="83"/>
      <c r="Y132" s="144"/>
      <c r="Z132" s="145"/>
      <c r="AA132" s="188"/>
      <c r="AB132" s="544" t="str">
        <f t="shared" si="21"/>
        <v/>
      </c>
    </row>
    <row r="133" spans="1:28" ht="13.35" customHeight="1" x14ac:dyDescent="0.2">
      <c r="A133">
        <v>4</v>
      </c>
      <c r="B133">
        <v>25</v>
      </c>
      <c r="C133" s="55">
        <f>DATE(Anno,4,25)</f>
        <v>45772</v>
      </c>
      <c r="D133" s="40">
        <f t="shared" si="22"/>
        <v>45772</v>
      </c>
      <c r="E133" s="118"/>
      <c r="F133" s="151"/>
      <c r="G133" s="120"/>
      <c r="H133" s="120"/>
      <c r="I133" s="71">
        <f t="shared" si="18"/>
        <v>0</v>
      </c>
      <c r="J133" s="73"/>
      <c r="K133" s="73"/>
      <c r="L133" s="129"/>
      <c r="M133" s="134"/>
      <c r="N133" s="196"/>
      <c r="O133" s="536" t="str">
        <f t="shared" si="19"/>
        <v/>
      </c>
      <c r="P133" s="55">
        <f>DATE(Anno,10,25)</f>
        <v>45955</v>
      </c>
      <c r="Q133" s="51">
        <f t="shared" si="23"/>
        <v>45955</v>
      </c>
      <c r="R133" s="118"/>
      <c r="S133" s="139"/>
      <c r="T133" s="120"/>
      <c r="U133" s="120"/>
      <c r="V133" s="71">
        <f t="shared" si="20"/>
        <v>0</v>
      </c>
      <c r="W133" s="83"/>
      <c r="X133" s="83"/>
      <c r="Y133" s="144"/>
      <c r="Z133" s="145"/>
      <c r="AA133" s="188"/>
      <c r="AB133" s="544" t="str">
        <f t="shared" si="21"/>
        <v/>
      </c>
    </row>
    <row r="134" spans="1:28" ht="13.35" customHeight="1" x14ac:dyDescent="0.2">
      <c r="A134">
        <v>4</v>
      </c>
      <c r="B134">
        <v>26</v>
      </c>
      <c r="C134" s="55">
        <f>DATE(Anno,4,26)</f>
        <v>45773</v>
      </c>
      <c r="D134" s="40">
        <f t="shared" si="22"/>
        <v>45773</v>
      </c>
      <c r="E134" s="118"/>
      <c r="F134" s="151"/>
      <c r="G134" s="120"/>
      <c r="H134" s="120"/>
      <c r="I134" s="71">
        <f t="shared" si="18"/>
        <v>0</v>
      </c>
      <c r="J134" s="70"/>
      <c r="K134" s="70"/>
      <c r="L134" s="131"/>
      <c r="M134" s="134"/>
      <c r="N134" s="196"/>
      <c r="O134" s="536" t="str">
        <f t="shared" si="19"/>
        <v/>
      </c>
      <c r="P134" s="55">
        <f>DATE(Anno,10,26)</f>
        <v>45956</v>
      </c>
      <c r="Q134" s="51">
        <f t="shared" si="23"/>
        <v>45956</v>
      </c>
      <c r="R134" s="118"/>
      <c r="S134" s="140"/>
      <c r="T134" s="120"/>
      <c r="U134" s="120"/>
      <c r="V134" s="71">
        <f t="shared" si="20"/>
        <v>0</v>
      </c>
      <c r="W134" s="77"/>
      <c r="X134" s="77"/>
      <c r="Y134" s="146"/>
      <c r="Z134" s="160"/>
      <c r="AA134" s="189"/>
      <c r="AB134" s="544" t="str">
        <f t="shared" si="21"/>
        <v/>
      </c>
    </row>
    <row r="135" spans="1:28" ht="13.35" customHeight="1" x14ac:dyDescent="0.2">
      <c r="A135">
        <v>4</v>
      </c>
      <c r="B135">
        <v>27</v>
      </c>
      <c r="C135" s="55">
        <f>DATE(Anno,4,27)</f>
        <v>45774</v>
      </c>
      <c r="D135" s="40">
        <f t="shared" si="22"/>
        <v>45774</v>
      </c>
      <c r="E135" s="118"/>
      <c r="F135" s="151"/>
      <c r="G135" s="120"/>
      <c r="H135" s="120"/>
      <c r="I135" s="71">
        <f t="shared" si="18"/>
        <v>0</v>
      </c>
      <c r="J135" s="74"/>
      <c r="K135" s="74"/>
      <c r="L135" s="135"/>
      <c r="M135" s="134"/>
      <c r="N135" s="196"/>
      <c r="O135" s="536" t="str">
        <f t="shared" si="19"/>
        <v/>
      </c>
      <c r="P135" s="55">
        <f>DATE(Anno,10,27)</f>
        <v>45957</v>
      </c>
      <c r="Q135" s="51">
        <f t="shared" si="23"/>
        <v>45957</v>
      </c>
      <c r="R135" s="118"/>
      <c r="S135" s="140"/>
      <c r="T135" s="120"/>
      <c r="U135" s="120"/>
      <c r="V135" s="71">
        <f t="shared" si="20"/>
        <v>0</v>
      </c>
      <c r="W135" s="70"/>
      <c r="X135" s="70"/>
      <c r="Y135" s="147"/>
      <c r="Z135" s="145"/>
      <c r="AA135" s="188"/>
      <c r="AB135" s="544" t="str">
        <f t="shared" si="21"/>
        <v/>
      </c>
    </row>
    <row r="136" spans="1:28" ht="13.35" customHeight="1" thickBot="1" x14ac:dyDescent="0.25">
      <c r="A136">
        <v>4</v>
      </c>
      <c r="B136">
        <v>28</v>
      </c>
      <c r="C136" s="55">
        <f>DATE(Anno,4,28)</f>
        <v>45775</v>
      </c>
      <c r="D136" s="40">
        <f t="shared" si="22"/>
        <v>45775</v>
      </c>
      <c r="E136" s="118"/>
      <c r="F136" s="151"/>
      <c r="G136" s="120"/>
      <c r="H136" s="120"/>
      <c r="I136" s="71">
        <f t="shared" si="18"/>
        <v>0</v>
      </c>
      <c r="J136" s="70"/>
      <c r="K136" s="70"/>
      <c r="L136" s="135"/>
      <c r="M136" s="132"/>
      <c r="N136" s="196"/>
      <c r="O136" s="536" t="str">
        <f t="shared" si="19"/>
        <v/>
      </c>
      <c r="P136" s="55">
        <f>DATE(Anno,10,28)</f>
        <v>45958</v>
      </c>
      <c r="Q136" s="51">
        <f t="shared" si="23"/>
        <v>45958</v>
      </c>
      <c r="R136" s="118"/>
      <c r="S136" s="140"/>
      <c r="T136" s="120"/>
      <c r="U136" s="120"/>
      <c r="V136" s="71">
        <f t="shared" si="20"/>
        <v>0</v>
      </c>
      <c r="W136" s="84"/>
      <c r="X136" s="84"/>
      <c r="Y136" s="147"/>
      <c r="Z136" s="145"/>
      <c r="AA136" s="188"/>
      <c r="AB136" s="544" t="str">
        <f t="shared" si="21"/>
        <v/>
      </c>
    </row>
    <row r="137" spans="1:28" ht="13.35" customHeight="1" x14ac:dyDescent="0.2">
      <c r="A137">
        <v>4</v>
      </c>
      <c r="B137">
        <v>29</v>
      </c>
      <c r="C137" s="55">
        <f>DATE(Anno,4,29)</f>
        <v>45776</v>
      </c>
      <c r="D137" s="40">
        <f t="shared" si="22"/>
        <v>45776</v>
      </c>
      <c r="E137" s="118"/>
      <c r="F137" s="151"/>
      <c r="G137" s="120"/>
      <c r="H137" s="120"/>
      <c r="I137" s="71">
        <f t="shared" si="18"/>
        <v>0</v>
      </c>
      <c r="J137" s="494" t="s">
        <v>131</v>
      </c>
      <c r="K137" s="211"/>
      <c r="L137" s="129"/>
      <c r="M137" s="134"/>
      <c r="N137" s="196"/>
      <c r="O137" s="536" t="str">
        <f t="shared" si="19"/>
        <v/>
      </c>
      <c r="P137" s="55">
        <f>DATE(Anno,10,29)</f>
        <v>45959</v>
      </c>
      <c r="Q137" s="51">
        <f t="shared" si="23"/>
        <v>45959</v>
      </c>
      <c r="R137" s="118"/>
      <c r="S137" s="121"/>
      <c r="T137" s="120"/>
      <c r="U137" s="120"/>
      <c r="V137" s="71">
        <f t="shared" si="20"/>
        <v>0</v>
      </c>
      <c r="W137" s="494" t="s">
        <v>131</v>
      </c>
      <c r="X137" s="211"/>
      <c r="Y137" s="144"/>
      <c r="Z137" s="134"/>
      <c r="AA137" s="186"/>
      <c r="AB137" s="544" t="str">
        <f t="shared" si="21"/>
        <v/>
      </c>
    </row>
    <row r="138" spans="1:28" ht="13.35" customHeight="1" thickBot="1" x14ac:dyDescent="0.25">
      <c r="A138">
        <v>4</v>
      </c>
      <c r="B138">
        <v>30</v>
      </c>
      <c r="C138" s="55">
        <f>DATE(Anno,4,30)</f>
        <v>45777</v>
      </c>
      <c r="D138" s="40">
        <f t="shared" si="22"/>
        <v>45777</v>
      </c>
      <c r="E138" s="118"/>
      <c r="F138" s="151"/>
      <c r="G138" s="120"/>
      <c r="H138" s="120"/>
      <c r="I138" s="71">
        <f t="shared" si="18"/>
        <v>0</v>
      </c>
      <c r="J138" s="496"/>
      <c r="K138" s="214"/>
      <c r="L138" s="129"/>
      <c r="M138" s="134"/>
      <c r="N138" s="196"/>
      <c r="O138" s="536" t="str">
        <f t="shared" si="19"/>
        <v/>
      </c>
      <c r="P138" s="55">
        <f>DATE(Anno,10,30)</f>
        <v>45960</v>
      </c>
      <c r="Q138" s="51">
        <f t="shared" si="23"/>
        <v>45960</v>
      </c>
      <c r="R138" s="118"/>
      <c r="S138" s="139"/>
      <c r="T138" s="120"/>
      <c r="U138" s="120"/>
      <c r="V138" s="71">
        <f t="shared" si="20"/>
        <v>0</v>
      </c>
      <c r="W138" s="496"/>
      <c r="X138" s="214"/>
      <c r="Y138" s="144"/>
      <c r="Z138" s="134"/>
      <c r="AA138" s="186"/>
      <c r="AB138" s="544" t="str">
        <f t="shared" si="21"/>
        <v/>
      </c>
    </row>
    <row r="139" spans="1:28" ht="13.35" customHeight="1" thickBot="1" x14ac:dyDescent="0.25">
      <c r="A139">
        <v>4</v>
      </c>
      <c r="B139">
        <v>31</v>
      </c>
      <c r="C139" s="56"/>
      <c r="D139" s="59"/>
      <c r="E139" s="124"/>
      <c r="F139" s="173"/>
      <c r="G139" s="126"/>
      <c r="H139" s="126"/>
      <c r="I139" s="71" t="str">
        <f t="shared" si="18"/>
        <v/>
      </c>
      <c r="J139" s="70">
        <f>SUM(I109:I139)</f>
        <v>0</v>
      </c>
      <c r="K139" s="269">
        <f>ROUNDDOWN((30*38)/7,0)</f>
        <v>162</v>
      </c>
      <c r="L139" s="148"/>
      <c r="M139" s="174"/>
      <c r="N139" s="197"/>
      <c r="O139" s="536" t="str">
        <f t="shared" si="19"/>
        <v/>
      </c>
      <c r="P139" s="56">
        <f>DATE(Anno,10,31)</f>
        <v>45961</v>
      </c>
      <c r="Q139" s="57">
        <f>P139</f>
        <v>45961</v>
      </c>
      <c r="R139" s="124"/>
      <c r="S139" s="141"/>
      <c r="T139" s="126"/>
      <c r="U139" s="126"/>
      <c r="V139" s="229">
        <f t="shared" si="20"/>
        <v>0</v>
      </c>
      <c r="W139" s="250">
        <f>SUM(V109:V139)</f>
        <v>0</v>
      </c>
      <c r="X139" s="269">
        <f>ROUNDDOWN((31*38)/7,0)</f>
        <v>168</v>
      </c>
      <c r="Y139" s="148"/>
      <c r="Z139" s="137"/>
      <c r="AA139" s="257"/>
      <c r="AB139" s="549" t="str">
        <f t="shared" si="21"/>
        <v/>
      </c>
    </row>
    <row r="140" spans="1:28" ht="13.35" customHeight="1" thickBot="1" x14ac:dyDescent="0.25">
      <c r="C140" s="488"/>
      <c r="D140" s="489"/>
      <c r="E140" s="489"/>
      <c r="F140" s="489"/>
      <c r="G140" s="489"/>
      <c r="H140" s="489"/>
      <c r="I140" s="489"/>
      <c r="J140" s="79"/>
      <c r="K140" s="79"/>
      <c r="L140" s="79"/>
      <c r="M140" s="67"/>
      <c r="N140" s="263" t="s">
        <v>188</v>
      </c>
      <c r="O140" s="539">
        <f>COUNTIF(O109:O139,"1")</f>
        <v>0</v>
      </c>
      <c r="P140" s="490"/>
      <c r="Q140" s="490"/>
      <c r="R140" s="490"/>
      <c r="S140" s="490"/>
      <c r="T140" s="490"/>
      <c r="U140" s="490"/>
      <c r="V140" s="490"/>
      <c r="W140" s="85"/>
      <c r="X140" s="85"/>
      <c r="Y140" s="85"/>
      <c r="Z140" s="67"/>
      <c r="AA140" s="263" t="s">
        <v>188</v>
      </c>
      <c r="AB140" s="550">
        <f>COUNTIF(AB109:AB139,"1")</f>
        <v>0</v>
      </c>
    </row>
    <row r="141" spans="1:28" ht="25.35" customHeight="1" thickBot="1" x14ac:dyDescent="0.25">
      <c r="A141" s="35"/>
      <c r="B141" s="35"/>
      <c r="C141" s="238" t="s">
        <v>7</v>
      </c>
      <c r="D141" s="239"/>
      <c r="E141" s="239"/>
      <c r="F141" s="239"/>
      <c r="G141" s="239"/>
      <c r="H141" s="239"/>
      <c r="I141" s="239"/>
      <c r="J141" s="239"/>
      <c r="K141" s="239"/>
      <c r="L141" s="239"/>
      <c r="M141" s="237"/>
      <c r="N141" s="237"/>
      <c r="O141" s="532"/>
      <c r="P141" s="261" t="s">
        <v>13</v>
      </c>
      <c r="Q141" s="261"/>
      <c r="R141" s="261"/>
      <c r="S141" s="261"/>
      <c r="T141" s="261"/>
      <c r="U141" s="261"/>
      <c r="V141" s="261"/>
      <c r="W141" s="261"/>
      <c r="X141" s="261"/>
      <c r="Y141" s="261"/>
      <c r="Z141" s="259"/>
      <c r="AA141" s="259"/>
      <c r="AB141" s="542"/>
    </row>
    <row r="142" spans="1:28" ht="13.35" customHeight="1" thickBot="1" x14ac:dyDescent="0.25">
      <c r="C142" s="499" t="s">
        <v>112</v>
      </c>
      <c r="D142" s="501" t="s">
        <v>100</v>
      </c>
      <c r="E142" s="503" t="s">
        <v>104</v>
      </c>
      <c r="F142" s="491" t="s">
        <v>101</v>
      </c>
      <c r="G142" s="244" t="s">
        <v>129</v>
      </c>
      <c r="H142" s="242"/>
      <c r="I142" s="494" t="s">
        <v>130</v>
      </c>
      <c r="J142" s="513" t="s">
        <v>131</v>
      </c>
      <c r="K142" s="494" t="s">
        <v>152</v>
      </c>
      <c r="L142" s="513" t="s">
        <v>132</v>
      </c>
      <c r="M142" s="497" t="s">
        <v>129</v>
      </c>
      <c r="N142" s="497" t="s">
        <v>144</v>
      </c>
      <c r="O142" s="533" t="s">
        <v>128</v>
      </c>
      <c r="P142" s="499" t="s">
        <v>112</v>
      </c>
      <c r="Q142" s="501" t="s">
        <v>100</v>
      </c>
      <c r="R142" s="503" t="s">
        <v>104</v>
      </c>
      <c r="S142" s="491" t="s">
        <v>101</v>
      </c>
      <c r="T142" s="244" t="s">
        <v>129</v>
      </c>
      <c r="U142" s="242"/>
      <c r="V142" s="494" t="s">
        <v>130</v>
      </c>
      <c r="W142" s="513" t="s">
        <v>131</v>
      </c>
      <c r="X142" s="494" t="s">
        <v>152</v>
      </c>
      <c r="Y142" s="513" t="s">
        <v>132</v>
      </c>
      <c r="Z142" s="497" t="s">
        <v>129</v>
      </c>
      <c r="AA142" s="497" t="s">
        <v>144</v>
      </c>
      <c r="AB142" s="533" t="s">
        <v>128</v>
      </c>
    </row>
    <row r="143" spans="1:28" ht="13.35" customHeight="1" thickBot="1" x14ac:dyDescent="0.25">
      <c r="C143" s="500"/>
      <c r="D143" s="502"/>
      <c r="E143" s="504"/>
      <c r="F143" s="492"/>
      <c r="G143" s="47" t="s">
        <v>102</v>
      </c>
      <c r="H143" s="89" t="s">
        <v>103</v>
      </c>
      <c r="I143" s="496"/>
      <c r="J143" s="514"/>
      <c r="K143" s="496"/>
      <c r="L143" s="514"/>
      <c r="M143" s="498"/>
      <c r="N143" s="498"/>
      <c r="O143" s="534"/>
      <c r="P143" s="515"/>
      <c r="Q143" s="517"/>
      <c r="R143" s="516"/>
      <c r="S143" s="493"/>
      <c r="T143" s="49" t="s">
        <v>102</v>
      </c>
      <c r="U143" s="50" t="s">
        <v>103</v>
      </c>
      <c r="V143" s="495"/>
      <c r="W143" s="518"/>
      <c r="X143" s="495"/>
      <c r="Y143" s="518"/>
      <c r="Z143" s="519"/>
      <c r="AA143" s="519"/>
      <c r="AB143" s="547"/>
    </row>
    <row r="144" spans="1:28" ht="13.35" customHeight="1" x14ac:dyDescent="0.2">
      <c r="A144">
        <v>5</v>
      </c>
      <c r="B144">
        <v>1</v>
      </c>
      <c r="C144" s="58">
        <f>DATE(Anno,5,1)</f>
        <v>45778</v>
      </c>
      <c r="D144" s="40">
        <f>C144</f>
        <v>45778</v>
      </c>
      <c r="E144" s="150"/>
      <c r="F144" s="151"/>
      <c r="G144" s="138"/>
      <c r="H144" s="138"/>
      <c r="I144" s="71">
        <f t="shared" ref="I144:I174" si="24">IF(C144="","",IF(OR(G144="",H144=""),,IF(H144&lt;G144,MOD(H144-G144,1),H144-G144)))</f>
        <v>0</v>
      </c>
      <c r="J144" s="80"/>
      <c r="K144" s="80"/>
      <c r="L144" s="176"/>
      <c r="M144" s="159"/>
      <c r="N144" s="198"/>
      <c r="O144" s="536" t="str">
        <f t="shared" ref="O144:O174" si="25">IF(E144="d","1","")&amp;IF(E144="P","1","")&amp;IF(E144="FL","1","")&amp;IF(E144="IL","1","")&amp;IF(E144="V","1","")</f>
        <v/>
      </c>
      <c r="P144" s="53">
        <f>DATE(Anno,11,1)</f>
        <v>45962</v>
      </c>
      <c r="Q144" s="54">
        <f>P144</f>
        <v>45962</v>
      </c>
      <c r="R144" s="115"/>
      <c r="S144" s="252"/>
      <c r="T144" s="117"/>
      <c r="U144" s="117"/>
      <c r="V144" s="72">
        <f t="shared" ref="V144:V174" si="26">IF(P144="","",IF(OR(T144="",U144=""),,IF(U144&lt;T144,MOD(U144-T144,1),U144-T144)))</f>
        <v>0</v>
      </c>
      <c r="W144" s="253"/>
      <c r="X144" s="253"/>
      <c r="Y144" s="254"/>
      <c r="Z144" s="128"/>
      <c r="AA144" s="255"/>
      <c r="AB144" s="548" t="str">
        <f t="shared" ref="AB144:AB174" si="27">IF(R144="d","1","")&amp;IF(R144="P","1","")&amp;IF(R144="FL","1","")&amp;IF(R144="IL","1","")&amp;IF(R144="V","1","")</f>
        <v/>
      </c>
    </row>
    <row r="145" spans="1:29" ht="13.35" customHeight="1" x14ac:dyDescent="0.2">
      <c r="A145">
        <v>5</v>
      </c>
      <c r="B145">
        <v>2</v>
      </c>
      <c r="C145" s="55">
        <f>DATE(Anno,5,2)</f>
        <v>45779</v>
      </c>
      <c r="D145" s="51">
        <f t="shared" ref="D145:D173" si="28">C145</f>
        <v>45779</v>
      </c>
      <c r="E145" s="118"/>
      <c r="F145" s="151"/>
      <c r="G145" s="120"/>
      <c r="H145" s="120"/>
      <c r="I145" s="71">
        <f t="shared" si="24"/>
        <v>0</v>
      </c>
      <c r="J145" s="70"/>
      <c r="K145" s="70"/>
      <c r="L145" s="129"/>
      <c r="M145" s="134"/>
      <c r="N145" s="196"/>
      <c r="O145" s="536" t="str">
        <f t="shared" si="25"/>
        <v/>
      </c>
      <c r="P145" s="55">
        <f>DATE(Anno,11,2)</f>
        <v>45963</v>
      </c>
      <c r="Q145" s="51">
        <f t="shared" ref="Q145:Q173" si="29">P145</f>
        <v>45963</v>
      </c>
      <c r="R145" s="118"/>
      <c r="S145" s="139"/>
      <c r="T145" s="120"/>
      <c r="U145" s="120"/>
      <c r="V145" s="71">
        <f t="shared" si="26"/>
        <v>0</v>
      </c>
      <c r="W145" s="77"/>
      <c r="X145" s="77"/>
      <c r="Y145" s="146"/>
      <c r="Z145" s="134"/>
      <c r="AA145" s="186"/>
      <c r="AB145" s="544" t="str">
        <f t="shared" si="27"/>
        <v/>
      </c>
    </row>
    <row r="146" spans="1:29" ht="13.35" customHeight="1" x14ac:dyDescent="0.2">
      <c r="A146">
        <v>5</v>
      </c>
      <c r="B146">
        <v>3</v>
      </c>
      <c r="C146" s="55">
        <f>DATE(Anno,5,3)</f>
        <v>45780</v>
      </c>
      <c r="D146" s="51">
        <f t="shared" si="28"/>
        <v>45780</v>
      </c>
      <c r="E146" s="118"/>
      <c r="F146" s="123"/>
      <c r="G146" s="120"/>
      <c r="H146" s="120"/>
      <c r="I146" s="71">
        <f t="shared" si="24"/>
        <v>0</v>
      </c>
      <c r="J146" s="70"/>
      <c r="K146" s="70"/>
      <c r="L146" s="129"/>
      <c r="M146" s="134"/>
      <c r="N146" s="196"/>
      <c r="O146" s="536" t="str">
        <f t="shared" si="25"/>
        <v/>
      </c>
      <c r="P146" s="55">
        <f>DATE(Anno,11,3)</f>
        <v>45964</v>
      </c>
      <c r="Q146" s="51">
        <f t="shared" si="29"/>
        <v>45964</v>
      </c>
      <c r="R146" s="118"/>
      <c r="S146" s="140"/>
      <c r="T146" s="120"/>
      <c r="U146" s="120"/>
      <c r="V146" s="71">
        <f t="shared" si="26"/>
        <v>0</v>
      </c>
      <c r="W146" s="70"/>
      <c r="X146" s="70"/>
      <c r="Y146" s="146"/>
      <c r="Z146" s="134"/>
      <c r="AA146" s="186"/>
      <c r="AB146" s="544" t="str">
        <f t="shared" si="27"/>
        <v/>
      </c>
    </row>
    <row r="147" spans="1:29" ht="13.35" customHeight="1" x14ac:dyDescent="0.2">
      <c r="A147">
        <v>5</v>
      </c>
      <c r="B147">
        <v>4</v>
      </c>
      <c r="C147" s="55">
        <f>DATE(Anno,5,4)</f>
        <v>45781</v>
      </c>
      <c r="D147" s="51">
        <f t="shared" si="28"/>
        <v>45781</v>
      </c>
      <c r="E147" s="118"/>
      <c r="F147" s="123"/>
      <c r="G147" s="120"/>
      <c r="H147" s="120"/>
      <c r="I147" s="71">
        <f t="shared" si="24"/>
        <v>0</v>
      </c>
      <c r="J147" s="71"/>
      <c r="K147" s="71"/>
      <c r="L147" s="129"/>
      <c r="M147" s="134"/>
      <c r="N147" s="196"/>
      <c r="O147" s="536" t="str">
        <f t="shared" si="25"/>
        <v/>
      </c>
      <c r="P147" s="55">
        <f>DATE(Anno,11,4)</f>
        <v>45965</v>
      </c>
      <c r="Q147" s="51">
        <f t="shared" si="29"/>
        <v>45965</v>
      </c>
      <c r="R147" s="118"/>
      <c r="S147" s="140"/>
      <c r="T147" s="120"/>
      <c r="U147" s="120"/>
      <c r="V147" s="71">
        <f t="shared" si="26"/>
        <v>0</v>
      </c>
      <c r="W147" s="77"/>
      <c r="X147" s="77"/>
      <c r="Y147" s="146"/>
      <c r="Z147" s="134"/>
      <c r="AA147" s="186"/>
      <c r="AB147" s="544" t="str">
        <f t="shared" si="27"/>
        <v/>
      </c>
    </row>
    <row r="148" spans="1:29" ht="13.35" customHeight="1" x14ac:dyDescent="0.2">
      <c r="A148">
        <v>5</v>
      </c>
      <c r="B148">
        <v>5</v>
      </c>
      <c r="C148" s="55">
        <f>DATE(Anno,5,5)</f>
        <v>45782</v>
      </c>
      <c r="D148" s="51">
        <f t="shared" si="28"/>
        <v>45782</v>
      </c>
      <c r="E148" s="118"/>
      <c r="F148" s="123"/>
      <c r="G148" s="120"/>
      <c r="H148" s="120"/>
      <c r="I148" s="71">
        <f t="shared" si="24"/>
        <v>0</v>
      </c>
      <c r="J148" s="71"/>
      <c r="K148" s="71"/>
      <c r="L148" s="129"/>
      <c r="M148" s="134"/>
      <c r="N148" s="196"/>
      <c r="O148" s="536" t="str">
        <f t="shared" si="25"/>
        <v/>
      </c>
      <c r="P148" s="55">
        <f>DATE(Anno,11,5)</f>
        <v>45966</v>
      </c>
      <c r="Q148" s="51">
        <f t="shared" si="29"/>
        <v>45966</v>
      </c>
      <c r="R148" s="118"/>
      <c r="S148" s="140"/>
      <c r="T148" s="120"/>
      <c r="U148" s="120"/>
      <c r="V148" s="71">
        <f t="shared" si="26"/>
        <v>0</v>
      </c>
      <c r="W148" s="77"/>
      <c r="X148" s="77"/>
      <c r="Y148" s="146"/>
      <c r="Z148" s="134"/>
      <c r="AA148" s="186"/>
      <c r="AB148" s="544" t="str">
        <f t="shared" si="27"/>
        <v/>
      </c>
    </row>
    <row r="149" spans="1:29" ht="13.35" customHeight="1" x14ac:dyDescent="0.2">
      <c r="A149">
        <v>5</v>
      </c>
      <c r="B149">
        <v>6</v>
      </c>
      <c r="C149" s="55">
        <f>DATE(Anno,5,6)</f>
        <v>45783</v>
      </c>
      <c r="D149" s="51">
        <f t="shared" si="28"/>
        <v>45783</v>
      </c>
      <c r="E149" s="118"/>
      <c r="F149" s="119"/>
      <c r="G149" s="120"/>
      <c r="H149" s="120"/>
      <c r="I149" s="71">
        <f t="shared" si="24"/>
        <v>0</v>
      </c>
      <c r="J149" s="71"/>
      <c r="K149" s="71"/>
      <c r="L149" s="129"/>
      <c r="M149" s="134"/>
      <c r="N149" s="196"/>
      <c r="O149" s="536" t="str">
        <f t="shared" si="25"/>
        <v/>
      </c>
      <c r="P149" s="55">
        <f>DATE(Anno,11,6)</f>
        <v>45967</v>
      </c>
      <c r="Q149" s="51">
        <f t="shared" si="29"/>
        <v>45967</v>
      </c>
      <c r="R149" s="118"/>
      <c r="S149" s="140"/>
      <c r="T149" s="120"/>
      <c r="U149" s="120"/>
      <c r="V149" s="71">
        <f t="shared" si="26"/>
        <v>0</v>
      </c>
      <c r="W149" s="77"/>
      <c r="X149" s="77"/>
      <c r="Y149" s="146"/>
      <c r="Z149" s="134"/>
      <c r="AA149" s="186"/>
      <c r="AB149" s="544" t="str">
        <f t="shared" si="27"/>
        <v/>
      </c>
    </row>
    <row r="150" spans="1:29" ht="13.35" customHeight="1" x14ac:dyDescent="0.2">
      <c r="A150">
        <v>5</v>
      </c>
      <c r="B150">
        <v>7</v>
      </c>
      <c r="C150" s="55">
        <f>DATE(Anno,5,7)</f>
        <v>45784</v>
      </c>
      <c r="D150" s="51">
        <f t="shared" si="28"/>
        <v>45784</v>
      </c>
      <c r="E150" s="118"/>
      <c r="F150" s="123"/>
      <c r="G150" s="120"/>
      <c r="H150" s="120"/>
      <c r="I150" s="71">
        <f t="shared" si="24"/>
        <v>0</v>
      </c>
      <c r="J150" s="71"/>
      <c r="K150" s="71"/>
      <c r="L150" s="129"/>
      <c r="M150" s="134"/>
      <c r="N150" s="196"/>
      <c r="O150" s="536" t="str">
        <f t="shared" si="25"/>
        <v/>
      </c>
      <c r="P150" s="55">
        <f>DATE(Anno,11,7)</f>
        <v>45968</v>
      </c>
      <c r="Q150" s="51">
        <f t="shared" si="29"/>
        <v>45968</v>
      </c>
      <c r="R150" s="118"/>
      <c r="S150" s="140"/>
      <c r="T150" s="120"/>
      <c r="U150" s="120"/>
      <c r="V150" s="71">
        <f t="shared" si="26"/>
        <v>0</v>
      </c>
      <c r="W150" s="71"/>
      <c r="X150" s="71"/>
      <c r="Y150" s="177"/>
      <c r="Z150" s="134"/>
      <c r="AA150" s="186"/>
      <c r="AB150" s="544" t="str">
        <f t="shared" si="27"/>
        <v/>
      </c>
      <c r="AC150" s="87"/>
    </row>
    <row r="151" spans="1:29" ht="13.35" customHeight="1" x14ac:dyDescent="0.2">
      <c r="A151">
        <v>5</v>
      </c>
      <c r="B151">
        <v>8</v>
      </c>
      <c r="C151" s="55">
        <f>DATE(Anno,5,8)</f>
        <v>45785</v>
      </c>
      <c r="D151" s="51">
        <f t="shared" si="28"/>
        <v>45785</v>
      </c>
      <c r="E151" s="118"/>
      <c r="F151" s="123"/>
      <c r="G151" s="120"/>
      <c r="H151" s="120"/>
      <c r="I151" s="71">
        <f t="shared" si="24"/>
        <v>0</v>
      </c>
      <c r="J151" s="71"/>
      <c r="K151" s="71"/>
      <c r="L151" s="129"/>
      <c r="M151" s="134"/>
      <c r="N151" s="196"/>
      <c r="O151" s="536" t="str">
        <f t="shared" si="25"/>
        <v/>
      </c>
      <c r="P151" s="55">
        <f>DATE(Anno,11,8)</f>
        <v>45969</v>
      </c>
      <c r="Q151" s="51">
        <f t="shared" si="29"/>
        <v>45969</v>
      </c>
      <c r="R151" s="118"/>
      <c r="S151" s="140"/>
      <c r="T151" s="120"/>
      <c r="U151" s="120"/>
      <c r="V151" s="71">
        <f t="shared" si="26"/>
        <v>0</v>
      </c>
      <c r="W151" s="71"/>
      <c r="X151" s="71"/>
      <c r="Y151" s="177"/>
      <c r="Z151" s="134"/>
      <c r="AA151" s="186"/>
      <c r="AB151" s="544" t="str">
        <f t="shared" si="27"/>
        <v/>
      </c>
    </row>
    <row r="152" spans="1:29" ht="13.35" customHeight="1" x14ac:dyDescent="0.2">
      <c r="A152">
        <v>5</v>
      </c>
      <c r="B152">
        <v>9</v>
      </c>
      <c r="C152" s="55">
        <f>DATE(Anno,5,9)</f>
        <v>45786</v>
      </c>
      <c r="D152" s="51">
        <f t="shared" si="28"/>
        <v>45786</v>
      </c>
      <c r="E152" s="118"/>
      <c r="F152" s="119"/>
      <c r="G152" s="120"/>
      <c r="H152" s="120"/>
      <c r="I152" s="71">
        <f t="shared" si="24"/>
        <v>0</v>
      </c>
      <c r="J152" s="71"/>
      <c r="K152" s="71"/>
      <c r="L152" s="129"/>
      <c r="M152" s="132"/>
      <c r="N152" s="196"/>
      <c r="O152" s="536" t="str">
        <f t="shared" si="25"/>
        <v/>
      </c>
      <c r="P152" s="55">
        <f>DATE(Anno,11,9)</f>
        <v>45970</v>
      </c>
      <c r="Q152" s="51">
        <f t="shared" si="29"/>
        <v>45970</v>
      </c>
      <c r="R152" s="118"/>
      <c r="S152" s="140"/>
      <c r="T152" s="120"/>
      <c r="U152" s="120"/>
      <c r="V152" s="71">
        <f t="shared" si="26"/>
        <v>0</v>
      </c>
      <c r="W152" s="74"/>
      <c r="X152" s="74"/>
      <c r="Y152" s="135"/>
      <c r="Z152" s="134"/>
      <c r="AA152" s="186"/>
      <c r="AB152" s="544" t="str">
        <f t="shared" si="27"/>
        <v/>
      </c>
    </row>
    <row r="153" spans="1:29" ht="13.35" customHeight="1" x14ac:dyDescent="0.2">
      <c r="A153">
        <v>5</v>
      </c>
      <c r="B153">
        <v>10</v>
      </c>
      <c r="C153" s="55">
        <f>DATE(Anno,5,10)</f>
        <v>45787</v>
      </c>
      <c r="D153" s="51">
        <f t="shared" si="28"/>
        <v>45787</v>
      </c>
      <c r="E153" s="118"/>
      <c r="F153" s="123"/>
      <c r="G153" s="120"/>
      <c r="H153" s="120"/>
      <c r="I153" s="71">
        <f t="shared" si="24"/>
        <v>0</v>
      </c>
      <c r="J153" s="71"/>
      <c r="K153" s="71"/>
      <c r="L153" s="129"/>
      <c r="M153" s="132"/>
      <c r="N153" s="196"/>
      <c r="O153" s="536" t="str">
        <f t="shared" si="25"/>
        <v/>
      </c>
      <c r="P153" s="55">
        <f>DATE(Anno,11,10)</f>
        <v>45971</v>
      </c>
      <c r="Q153" s="51">
        <f t="shared" si="29"/>
        <v>45971</v>
      </c>
      <c r="R153" s="118"/>
      <c r="S153" s="121"/>
      <c r="T153" s="120"/>
      <c r="U153" s="120"/>
      <c r="V153" s="71">
        <f t="shared" si="26"/>
        <v>0</v>
      </c>
      <c r="W153" s="70"/>
      <c r="X153" s="70"/>
      <c r="Y153" s="146"/>
      <c r="Z153" s="145"/>
      <c r="AA153" s="188"/>
      <c r="AB153" s="544" t="str">
        <f t="shared" si="27"/>
        <v/>
      </c>
    </row>
    <row r="154" spans="1:29" ht="13.35" customHeight="1" x14ac:dyDescent="0.2">
      <c r="A154">
        <v>5</v>
      </c>
      <c r="B154">
        <v>11</v>
      </c>
      <c r="C154" s="55">
        <f>DATE(Anno,5,11)</f>
        <v>45788</v>
      </c>
      <c r="D154" s="51">
        <f t="shared" si="28"/>
        <v>45788</v>
      </c>
      <c r="E154" s="118"/>
      <c r="F154" s="123"/>
      <c r="G154" s="120"/>
      <c r="H154" s="120"/>
      <c r="I154" s="71">
        <f t="shared" si="24"/>
        <v>0</v>
      </c>
      <c r="J154" s="74"/>
      <c r="K154" s="74"/>
      <c r="L154" s="135"/>
      <c r="M154" s="134"/>
      <c r="N154" s="196"/>
      <c r="O154" s="536" t="str">
        <f t="shared" si="25"/>
        <v/>
      </c>
      <c r="P154" s="55">
        <f>DATE(Anno,11,11)</f>
        <v>45972</v>
      </c>
      <c r="Q154" s="51">
        <f t="shared" si="29"/>
        <v>45972</v>
      </c>
      <c r="R154" s="118"/>
      <c r="S154" s="140"/>
      <c r="T154" s="120"/>
      <c r="U154" s="120"/>
      <c r="V154" s="71">
        <f t="shared" si="26"/>
        <v>0</v>
      </c>
      <c r="W154" s="77"/>
      <c r="X154" s="77"/>
      <c r="Y154" s="146"/>
      <c r="Z154" s="145"/>
      <c r="AA154" s="188"/>
      <c r="AB154" s="544" t="str">
        <f t="shared" si="27"/>
        <v/>
      </c>
    </row>
    <row r="155" spans="1:29" ht="13.35" customHeight="1" x14ac:dyDescent="0.2">
      <c r="A155">
        <v>5</v>
      </c>
      <c r="B155">
        <v>12</v>
      </c>
      <c r="C155" s="55">
        <f>DATE(Anno,5,12)</f>
        <v>45789</v>
      </c>
      <c r="D155" s="51">
        <f t="shared" si="28"/>
        <v>45789</v>
      </c>
      <c r="E155" s="118"/>
      <c r="F155" s="123"/>
      <c r="G155" s="120"/>
      <c r="H155" s="120"/>
      <c r="I155" s="71">
        <f t="shared" si="24"/>
        <v>0</v>
      </c>
      <c r="J155" s="74"/>
      <c r="K155" s="74"/>
      <c r="L155" s="135"/>
      <c r="M155" s="134"/>
      <c r="N155" s="196"/>
      <c r="O155" s="536" t="str">
        <f t="shared" si="25"/>
        <v/>
      </c>
      <c r="P155" s="55">
        <f>DATE(Anno,11,12)</f>
        <v>45973</v>
      </c>
      <c r="Q155" s="51">
        <f t="shared" si="29"/>
        <v>45973</v>
      </c>
      <c r="R155" s="118"/>
      <c r="S155" s="140"/>
      <c r="T155" s="120"/>
      <c r="U155" s="120"/>
      <c r="V155" s="71">
        <f t="shared" si="26"/>
        <v>0</v>
      </c>
      <c r="W155" s="77"/>
      <c r="X155" s="77"/>
      <c r="Y155" s="146"/>
      <c r="Z155" s="134"/>
      <c r="AA155" s="186"/>
      <c r="AB155" s="544" t="str">
        <f t="shared" si="27"/>
        <v/>
      </c>
    </row>
    <row r="156" spans="1:29" ht="13.35" customHeight="1" x14ac:dyDescent="0.2">
      <c r="A156">
        <v>5</v>
      </c>
      <c r="B156">
        <v>13</v>
      </c>
      <c r="C156" s="55">
        <f>DATE(Anno,5,13)</f>
        <v>45790</v>
      </c>
      <c r="D156" s="51">
        <f t="shared" si="28"/>
        <v>45790</v>
      </c>
      <c r="E156" s="118"/>
      <c r="F156" s="123"/>
      <c r="G156" s="120"/>
      <c r="H156" s="120"/>
      <c r="I156" s="71">
        <f t="shared" si="24"/>
        <v>0</v>
      </c>
      <c r="J156" s="71"/>
      <c r="K156" s="71"/>
      <c r="L156" s="129"/>
      <c r="M156" s="134"/>
      <c r="N156" s="196"/>
      <c r="O156" s="536" t="str">
        <f t="shared" si="25"/>
        <v/>
      </c>
      <c r="P156" s="55">
        <f>DATE(Anno,11,13)</f>
        <v>45974</v>
      </c>
      <c r="Q156" s="51">
        <f t="shared" si="29"/>
        <v>45974</v>
      </c>
      <c r="R156" s="118"/>
      <c r="S156" s="122"/>
      <c r="T156" s="120"/>
      <c r="U156" s="120"/>
      <c r="V156" s="71">
        <f t="shared" si="26"/>
        <v>0</v>
      </c>
      <c r="W156" s="70"/>
      <c r="X156" s="70"/>
      <c r="Y156" s="131"/>
      <c r="Z156" s="132"/>
      <c r="AA156" s="187"/>
      <c r="AB156" s="544" t="str">
        <f t="shared" si="27"/>
        <v/>
      </c>
    </row>
    <row r="157" spans="1:29" ht="13.35" customHeight="1" x14ac:dyDescent="0.2">
      <c r="A157">
        <v>5</v>
      </c>
      <c r="B157">
        <v>14</v>
      </c>
      <c r="C157" s="55">
        <f>DATE(Anno,5,14)</f>
        <v>45791</v>
      </c>
      <c r="D157" s="51">
        <f t="shared" si="28"/>
        <v>45791</v>
      </c>
      <c r="E157" s="118"/>
      <c r="F157" s="119"/>
      <c r="G157" s="120"/>
      <c r="H157" s="120"/>
      <c r="I157" s="71">
        <f t="shared" si="24"/>
        <v>0</v>
      </c>
      <c r="J157" s="71"/>
      <c r="K157" s="71"/>
      <c r="L157" s="129"/>
      <c r="M157" s="134"/>
      <c r="N157" s="196"/>
      <c r="O157" s="536" t="str">
        <f t="shared" si="25"/>
        <v/>
      </c>
      <c r="P157" s="55">
        <f>DATE(Anno,11,14)</f>
        <v>45975</v>
      </c>
      <c r="Q157" s="51">
        <f t="shared" si="29"/>
        <v>45975</v>
      </c>
      <c r="R157" s="118"/>
      <c r="S157" s="122"/>
      <c r="T157" s="120"/>
      <c r="U157" s="120"/>
      <c r="V157" s="71">
        <f t="shared" si="26"/>
        <v>0</v>
      </c>
      <c r="W157" s="70"/>
      <c r="X157" s="70"/>
      <c r="Y157" s="131"/>
      <c r="Z157" s="134"/>
      <c r="AA157" s="186"/>
      <c r="AB157" s="544" t="str">
        <f t="shared" si="27"/>
        <v/>
      </c>
    </row>
    <row r="158" spans="1:29" ht="13.35" customHeight="1" x14ac:dyDescent="0.2">
      <c r="A158">
        <v>5</v>
      </c>
      <c r="B158">
        <v>15</v>
      </c>
      <c r="C158" s="55">
        <f>DATE(Anno,5,15)</f>
        <v>45792</v>
      </c>
      <c r="D158" s="51">
        <f t="shared" si="28"/>
        <v>45792</v>
      </c>
      <c r="E158" s="118"/>
      <c r="F158" s="119"/>
      <c r="G158" s="120"/>
      <c r="H158" s="120"/>
      <c r="I158" s="71">
        <f t="shared" si="24"/>
        <v>0</v>
      </c>
      <c r="J158" s="71"/>
      <c r="K158" s="71"/>
      <c r="L158" s="129"/>
      <c r="M158" s="134"/>
      <c r="N158" s="196"/>
      <c r="O158" s="536" t="str">
        <f t="shared" si="25"/>
        <v/>
      </c>
      <c r="P158" s="55">
        <f>DATE(Anno,11,15)</f>
        <v>45976</v>
      </c>
      <c r="Q158" s="51">
        <f t="shared" si="29"/>
        <v>45976</v>
      </c>
      <c r="R158" s="118"/>
      <c r="S158" s="140"/>
      <c r="T158" s="120"/>
      <c r="U158" s="120"/>
      <c r="V158" s="71">
        <f t="shared" si="26"/>
        <v>0</v>
      </c>
      <c r="W158" s="83"/>
      <c r="X158" s="83"/>
      <c r="Y158" s="144"/>
      <c r="Z158" s="134"/>
      <c r="AA158" s="186"/>
      <c r="AB158" s="544" t="str">
        <f t="shared" si="27"/>
        <v/>
      </c>
    </row>
    <row r="159" spans="1:29" ht="13.35" customHeight="1" x14ac:dyDescent="0.2">
      <c r="A159">
        <v>5</v>
      </c>
      <c r="B159">
        <v>16</v>
      </c>
      <c r="C159" s="55">
        <f>DATE(Anno,5,16)</f>
        <v>45793</v>
      </c>
      <c r="D159" s="51">
        <f t="shared" si="28"/>
        <v>45793</v>
      </c>
      <c r="E159" s="118"/>
      <c r="F159" s="119"/>
      <c r="G159" s="120"/>
      <c r="H159" s="120"/>
      <c r="I159" s="71">
        <f t="shared" si="24"/>
        <v>0</v>
      </c>
      <c r="J159" s="71"/>
      <c r="K159" s="71"/>
      <c r="L159" s="177"/>
      <c r="M159" s="134"/>
      <c r="N159" s="196"/>
      <c r="O159" s="536" t="str">
        <f t="shared" si="25"/>
        <v/>
      </c>
      <c r="P159" s="55">
        <f>DATE(Anno,11,16)</f>
        <v>45977</v>
      </c>
      <c r="Q159" s="51">
        <f t="shared" si="29"/>
        <v>45977</v>
      </c>
      <c r="R159" s="118"/>
      <c r="S159" s="140"/>
      <c r="T159" s="120"/>
      <c r="U159" s="120"/>
      <c r="V159" s="71">
        <f t="shared" si="26"/>
        <v>0</v>
      </c>
      <c r="W159" s="84"/>
      <c r="X159" s="84"/>
      <c r="Y159" s="147"/>
      <c r="Z159" s="134"/>
      <c r="AA159" s="186"/>
      <c r="AB159" s="544" t="str">
        <f t="shared" si="27"/>
        <v/>
      </c>
    </row>
    <row r="160" spans="1:29" ht="13.35" customHeight="1" x14ac:dyDescent="0.2">
      <c r="A160">
        <v>5</v>
      </c>
      <c r="B160">
        <v>17</v>
      </c>
      <c r="C160" s="55">
        <f>DATE(Anno,5,17)</f>
        <v>45794</v>
      </c>
      <c r="D160" s="51">
        <f t="shared" si="28"/>
        <v>45794</v>
      </c>
      <c r="E160" s="118"/>
      <c r="F160" s="123"/>
      <c r="G160" s="120"/>
      <c r="H160" s="120"/>
      <c r="I160" s="71">
        <f t="shared" si="24"/>
        <v>0</v>
      </c>
      <c r="J160" s="71"/>
      <c r="K160" s="71"/>
      <c r="L160" s="129"/>
      <c r="M160" s="134"/>
      <c r="N160" s="196"/>
      <c r="O160" s="536" t="str">
        <f t="shared" si="25"/>
        <v/>
      </c>
      <c r="P160" s="55">
        <f>DATE(Anno,11,17)</f>
        <v>45978</v>
      </c>
      <c r="Q160" s="51">
        <f t="shared" si="29"/>
        <v>45978</v>
      </c>
      <c r="R160" s="118"/>
      <c r="S160" s="121"/>
      <c r="T160" s="120"/>
      <c r="U160" s="120"/>
      <c r="V160" s="71">
        <f t="shared" si="26"/>
        <v>0</v>
      </c>
      <c r="W160" s="70"/>
      <c r="X160" s="70"/>
      <c r="Y160" s="144"/>
      <c r="Z160" s="145"/>
      <c r="AA160" s="188"/>
      <c r="AB160" s="544" t="str">
        <f t="shared" si="27"/>
        <v/>
      </c>
    </row>
    <row r="161" spans="1:28" ht="13.35" customHeight="1" x14ac:dyDescent="0.2">
      <c r="A161">
        <v>5</v>
      </c>
      <c r="B161">
        <v>18</v>
      </c>
      <c r="C161" s="55">
        <f>DATE(Anno,5,18)</f>
        <v>45795</v>
      </c>
      <c r="D161" s="51">
        <f t="shared" si="28"/>
        <v>45795</v>
      </c>
      <c r="E161" s="118"/>
      <c r="F161" s="119"/>
      <c r="G161" s="120"/>
      <c r="H161" s="120"/>
      <c r="I161" s="71">
        <f t="shared" si="24"/>
        <v>0</v>
      </c>
      <c r="J161" s="71"/>
      <c r="K161" s="71"/>
      <c r="L161" s="129"/>
      <c r="M161" s="134"/>
      <c r="N161" s="196"/>
      <c r="O161" s="536" t="str">
        <f t="shared" si="25"/>
        <v/>
      </c>
      <c r="P161" s="55">
        <f>DATE(Anno,11,18)</f>
        <v>45979</v>
      </c>
      <c r="Q161" s="51">
        <f t="shared" si="29"/>
        <v>45979</v>
      </c>
      <c r="R161" s="118"/>
      <c r="S161" s="140"/>
      <c r="T161" s="120"/>
      <c r="U161" s="120"/>
      <c r="V161" s="71">
        <f t="shared" si="26"/>
        <v>0</v>
      </c>
      <c r="W161" s="77"/>
      <c r="X161" s="77"/>
      <c r="Y161" s="146"/>
      <c r="Z161" s="145"/>
      <c r="AA161" s="188"/>
      <c r="AB161" s="544" t="str">
        <f t="shared" si="27"/>
        <v/>
      </c>
    </row>
    <row r="162" spans="1:28" ht="13.35" customHeight="1" x14ac:dyDescent="0.2">
      <c r="A162">
        <v>5</v>
      </c>
      <c r="B162">
        <v>19</v>
      </c>
      <c r="C162" s="55">
        <f>DATE(Anno,5,19)</f>
        <v>45796</v>
      </c>
      <c r="D162" s="51">
        <f t="shared" si="28"/>
        <v>45796</v>
      </c>
      <c r="E162" s="118"/>
      <c r="F162" s="123"/>
      <c r="G162" s="120"/>
      <c r="H162" s="120"/>
      <c r="I162" s="71">
        <f t="shared" si="24"/>
        <v>0</v>
      </c>
      <c r="J162" s="71"/>
      <c r="K162" s="71"/>
      <c r="L162" s="129"/>
      <c r="M162" s="134"/>
      <c r="N162" s="196"/>
      <c r="O162" s="536" t="str">
        <f t="shared" si="25"/>
        <v/>
      </c>
      <c r="P162" s="55">
        <f>DATE(Anno,11,19)</f>
        <v>45980</v>
      </c>
      <c r="Q162" s="51">
        <f t="shared" si="29"/>
        <v>45980</v>
      </c>
      <c r="R162" s="118"/>
      <c r="S162" s="139"/>
      <c r="T162" s="120"/>
      <c r="U162" s="120"/>
      <c r="V162" s="71">
        <f t="shared" si="26"/>
        <v>0</v>
      </c>
      <c r="W162" s="77"/>
      <c r="X162" s="77"/>
      <c r="Y162" s="146"/>
      <c r="Z162" s="134"/>
      <c r="AA162" s="186"/>
      <c r="AB162" s="544" t="str">
        <f t="shared" si="27"/>
        <v/>
      </c>
    </row>
    <row r="163" spans="1:28" ht="13.35" customHeight="1" x14ac:dyDescent="0.2">
      <c r="A163">
        <v>5</v>
      </c>
      <c r="B163">
        <v>20</v>
      </c>
      <c r="C163" s="55">
        <f>DATE(Anno,5,20)</f>
        <v>45797</v>
      </c>
      <c r="D163" s="51">
        <f t="shared" si="28"/>
        <v>45797</v>
      </c>
      <c r="E163" s="118"/>
      <c r="F163" s="123"/>
      <c r="G163" s="120"/>
      <c r="H163" s="120"/>
      <c r="I163" s="71">
        <f t="shared" si="24"/>
        <v>0</v>
      </c>
      <c r="J163" s="71"/>
      <c r="K163" s="71"/>
      <c r="L163" s="129"/>
      <c r="M163" s="134"/>
      <c r="N163" s="196"/>
      <c r="O163" s="536" t="str">
        <f t="shared" si="25"/>
        <v/>
      </c>
      <c r="P163" s="55">
        <f>DATE(Anno,11,20)</f>
        <v>45981</v>
      </c>
      <c r="Q163" s="51">
        <f t="shared" si="29"/>
        <v>45981</v>
      </c>
      <c r="R163" s="118"/>
      <c r="S163" s="140"/>
      <c r="T163" s="120"/>
      <c r="U163" s="120"/>
      <c r="V163" s="71">
        <f t="shared" si="26"/>
        <v>0</v>
      </c>
      <c r="W163" s="71"/>
      <c r="X163" s="71"/>
      <c r="Y163" s="129"/>
      <c r="Z163" s="134"/>
      <c r="AA163" s="186"/>
      <c r="AB163" s="544" t="str">
        <f t="shared" si="27"/>
        <v/>
      </c>
    </row>
    <row r="164" spans="1:28" ht="13.35" customHeight="1" x14ac:dyDescent="0.2">
      <c r="A164">
        <v>5</v>
      </c>
      <c r="B164">
        <v>21</v>
      </c>
      <c r="C164" s="55">
        <f>DATE(Anno,5,21)</f>
        <v>45798</v>
      </c>
      <c r="D164" s="51">
        <f t="shared" si="28"/>
        <v>45798</v>
      </c>
      <c r="E164" s="118"/>
      <c r="F164" s="119"/>
      <c r="G164" s="120"/>
      <c r="H164" s="120"/>
      <c r="I164" s="71">
        <f t="shared" si="24"/>
        <v>0</v>
      </c>
      <c r="J164" s="71"/>
      <c r="K164" s="71"/>
      <c r="L164" s="129"/>
      <c r="M164" s="134"/>
      <c r="N164" s="196"/>
      <c r="O164" s="536" t="str">
        <f t="shared" si="25"/>
        <v/>
      </c>
      <c r="P164" s="55">
        <f>DATE(Anno,11,21)</f>
        <v>45982</v>
      </c>
      <c r="Q164" s="51">
        <f t="shared" si="29"/>
        <v>45982</v>
      </c>
      <c r="R164" s="118"/>
      <c r="S164" s="140"/>
      <c r="T164" s="120"/>
      <c r="U164" s="120"/>
      <c r="V164" s="71">
        <f t="shared" si="26"/>
        <v>0</v>
      </c>
      <c r="W164" s="71"/>
      <c r="X164" s="71"/>
      <c r="Y164" s="129"/>
      <c r="Z164" s="134"/>
      <c r="AA164" s="186"/>
      <c r="AB164" s="544" t="str">
        <f t="shared" si="27"/>
        <v/>
      </c>
    </row>
    <row r="165" spans="1:28" ht="13.35" customHeight="1" x14ac:dyDescent="0.2">
      <c r="A165">
        <v>5</v>
      </c>
      <c r="B165">
        <v>22</v>
      </c>
      <c r="C165" s="55">
        <f>DATE(Anno,5,22)</f>
        <v>45799</v>
      </c>
      <c r="D165" s="51">
        <f t="shared" si="28"/>
        <v>45799</v>
      </c>
      <c r="E165" s="118"/>
      <c r="F165" s="119"/>
      <c r="G165" s="120"/>
      <c r="H165" s="120"/>
      <c r="I165" s="71">
        <f t="shared" si="24"/>
        <v>0</v>
      </c>
      <c r="J165" s="71"/>
      <c r="K165" s="71"/>
      <c r="L165" s="129"/>
      <c r="M165" s="132"/>
      <c r="N165" s="196"/>
      <c r="O165" s="536" t="str">
        <f t="shared" si="25"/>
        <v/>
      </c>
      <c r="P165" s="55">
        <f>DATE(Anno,11,22)</f>
        <v>45983</v>
      </c>
      <c r="Q165" s="51">
        <f t="shared" si="29"/>
        <v>45983</v>
      </c>
      <c r="R165" s="118"/>
      <c r="S165" s="140"/>
      <c r="T165" s="120"/>
      <c r="U165" s="120"/>
      <c r="V165" s="71">
        <f t="shared" si="26"/>
        <v>0</v>
      </c>
      <c r="W165" s="83"/>
      <c r="X165" s="83"/>
      <c r="Y165" s="144"/>
      <c r="Z165" s="160"/>
      <c r="AA165" s="189"/>
      <c r="AB165" s="544" t="str">
        <f t="shared" si="27"/>
        <v/>
      </c>
    </row>
    <row r="166" spans="1:28" ht="13.35" customHeight="1" x14ac:dyDescent="0.2">
      <c r="A166">
        <v>5</v>
      </c>
      <c r="B166">
        <v>23</v>
      </c>
      <c r="C166" s="55">
        <f>DATE(Anno,5,23)</f>
        <v>45800</v>
      </c>
      <c r="D166" s="51">
        <f t="shared" si="28"/>
        <v>45800</v>
      </c>
      <c r="E166" s="118"/>
      <c r="F166" s="151"/>
      <c r="G166" s="120"/>
      <c r="H166" s="120"/>
      <c r="I166" s="71">
        <f t="shared" si="24"/>
        <v>0</v>
      </c>
      <c r="J166" s="71"/>
      <c r="K166" s="71"/>
      <c r="L166" s="129"/>
      <c r="M166" s="134"/>
      <c r="N166" s="196"/>
      <c r="O166" s="536" t="str">
        <f t="shared" si="25"/>
        <v/>
      </c>
      <c r="P166" s="55">
        <f>DATE(Anno,11,23)</f>
        <v>45984</v>
      </c>
      <c r="Q166" s="51">
        <f t="shared" si="29"/>
        <v>45984</v>
      </c>
      <c r="R166" s="118"/>
      <c r="S166" s="139"/>
      <c r="T166" s="120"/>
      <c r="U166" s="120"/>
      <c r="V166" s="71">
        <f t="shared" si="26"/>
        <v>0</v>
      </c>
      <c r="W166" s="83"/>
      <c r="X166" s="83"/>
      <c r="Y166" s="144"/>
      <c r="Z166" s="160"/>
      <c r="AA166" s="189"/>
      <c r="AB166" s="544" t="str">
        <f t="shared" si="27"/>
        <v/>
      </c>
    </row>
    <row r="167" spans="1:28" ht="13.35" customHeight="1" x14ac:dyDescent="0.2">
      <c r="A167">
        <v>5</v>
      </c>
      <c r="B167">
        <v>24</v>
      </c>
      <c r="C167" s="55">
        <f>DATE(Anno,5,24)</f>
        <v>45801</v>
      </c>
      <c r="D167" s="51">
        <f t="shared" si="28"/>
        <v>45801</v>
      </c>
      <c r="E167" s="118"/>
      <c r="F167" s="151"/>
      <c r="G167" s="120"/>
      <c r="H167" s="120"/>
      <c r="I167" s="71">
        <f t="shared" si="24"/>
        <v>0</v>
      </c>
      <c r="J167" s="81"/>
      <c r="K167" s="81"/>
      <c r="L167" s="178"/>
      <c r="M167" s="134"/>
      <c r="N167" s="196"/>
      <c r="O167" s="536" t="str">
        <f t="shared" si="25"/>
        <v/>
      </c>
      <c r="P167" s="55">
        <f>DATE(Anno,11,24)</f>
        <v>45985</v>
      </c>
      <c r="Q167" s="51">
        <f t="shared" si="29"/>
        <v>45985</v>
      </c>
      <c r="R167" s="118"/>
      <c r="S167" s="121"/>
      <c r="T167" s="120"/>
      <c r="U167" s="120"/>
      <c r="V167" s="71">
        <f t="shared" si="26"/>
        <v>0</v>
      </c>
      <c r="W167" s="70"/>
      <c r="X167" s="70"/>
      <c r="Y167" s="144"/>
      <c r="Z167" s="145"/>
      <c r="AA167" s="188"/>
      <c r="AB167" s="544" t="str">
        <f t="shared" si="27"/>
        <v/>
      </c>
    </row>
    <row r="168" spans="1:28" ht="13.35" customHeight="1" x14ac:dyDescent="0.2">
      <c r="A168">
        <v>5</v>
      </c>
      <c r="B168">
        <v>25</v>
      </c>
      <c r="C168" s="55">
        <f>DATE(Anno,5,25)</f>
        <v>45802</v>
      </c>
      <c r="D168" s="51">
        <f t="shared" si="28"/>
        <v>45802</v>
      </c>
      <c r="E168" s="118"/>
      <c r="F168" s="119"/>
      <c r="G168" s="120"/>
      <c r="H168" s="120"/>
      <c r="I168" s="71">
        <f t="shared" si="24"/>
        <v>0</v>
      </c>
      <c r="J168" s="71"/>
      <c r="K168" s="71"/>
      <c r="L168" s="129"/>
      <c r="M168" s="134"/>
      <c r="N168" s="196"/>
      <c r="O168" s="536" t="str">
        <f t="shared" si="25"/>
        <v/>
      </c>
      <c r="P168" s="55">
        <f>DATE(Anno,11,25)</f>
        <v>45986</v>
      </c>
      <c r="Q168" s="51">
        <f t="shared" si="29"/>
        <v>45986</v>
      </c>
      <c r="R168" s="118"/>
      <c r="S168" s="140"/>
      <c r="T168" s="120"/>
      <c r="U168" s="120"/>
      <c r="V168" s="71">
        <f t="shared" si="26"/>
        <v>0</v>
      </c>
      <c r="W168" s="83"/>
      <c r="X168" s="83"/>
      <c r="Y168" s="144"/>
      <c r="Z168" s="145"/>
      <c r="AA168" s="188"/>
      <c r="AB168" s="544" t="str">
        <f t="shared" si="27"/>
        <v/>
      </c>
    </row>
    <row r="169" spans="1:28" ht="13.35" customHeight="1" x14ac:dyDescent="0.2">
      <c r="A169">
        <v>5</v>
      </c>
      <c r="B169">
        <v>26</v>
      </c>
      <c r="C169" s="55">
        <f>DATE(Anno,5,26)</f>
        <v>45803</v>
      </c>
      <c r="D169" s="51">
        <f t="shared" si="28"/>
        <v>45803</v>
      </c>
      <c r="E169" s="118"/>
      <c r="F169" s="119"/>
      <c r="G169" s="120"/>
      <c r="H169" s="120"/>
      <c r="I169" s="71">
        <f t="shared" si="24"/>
        <v>0</v>
      </c>
      <c r="J169" s="71"/>
      <c r="K169" s="71"/>
      <c r="L169" s="129"/>
      <c r="M169" s="132"/>
      <c r="N169" s="196"/>
      <c r="O169" s="536" t="str">
        <f t="shared" si="25"/>
        <v/>
      </c>
      <c r="P169" s="55">
        <f>DATE(Anno,11,26)</f>
        <v>45987</v>
      </c>
      <c r="Q169" s="51">
        <f t="shared" si="29"/>
        <v>45987</v>
      </c>
      <c r="R169" s="118"/>
      <c r="S169" s="140"/>
      <c r="T169" s="120"/>
      <c r="U169" s="120"/>
      <c r="V169" s="71">
        <f t="shared" si="26"/>
        <v>0</v>
      </c>
      <c r="W169" s="77"/>
      <c r="X169" s="77"/>
      <c r="Y169" s="146"/>
      <c r="Z169" s="134"/>
      <c r="AA169" s="186"/>
      <c r="AB169" s="544" t="str">
        <f t="shared" si="27"/>
        <v/>
      </c>
    </row>
    <row r="170" spans="1:28" ht="13.35" customHeight="1" x14ac:dyDescent="0.2">
      <c r="A170">
        <v>5</v>
      </c>
      <c r="B170">
        <v>27</v>
      </c>
      <c r="C170" s="55">
        <f>DATE(Anno,5,27)</f>
        <v>45804</v>
      </c>
      <c r="D170" s="51">
        <f t="shared" si="28"/>
        <v>45804</v>
      </c>
      <c r="E170" s="118"/>
      <c r="F170" s="123"/>
      <c r="G170" s="120"/>
      <c r="H170" s="120"/>
      <c r="I170" s="71">
        <f t="shared" si="24"/>
        <v>0</v>
      </c>
      <c r="J170" s="74"/>
      <c r="K170" s="74"/>
      <c r="L170" s="135"/>
      <c r="M170" s="134"/>
      <c r="N170" s="196"/>
      <c r="O170" s="536" t="str">
        <f t="shared" si="25"/>
        <v/>
      </c>
      <c r="P170" s="55">
        <f>DATE(Anno,11,27)</f>
        <v>45988</v>
      </c>
      <c r="Q170" s="51">
        <f t="shared" si="29"/>
        <v>45988</v>
      </c>
      <c r="R170" s="118"/>
      <c r="S170" s="140"/>
      <c r="T170" s="120"/>
      <c r="U170" s="120"/>
      <c r="V170" s="71">
        <f t="shared" si="26"/>
        <v>0</v>
      </c>
      <c r="W170" s="84"/>
      <c r="X170" s="84"/>
      <c r="Y170" s="147"/>
      <c r="Z170" s="134"/>
      <c r="AA170" s="186"/>
      <c r="AB170" s="544" t="str">
        <f t="shared" si="27"/>
        <v/>
      </c>
    </row>
    <row r="171" spans="1:28" ht="13.35" customHeight="1" thickBot="1" x14ac:dyDescent="0.25">
      <c r="A171">
        <v>5</v>
      </c>
      <c r="B171">
        <v>28</v>
      </c>
      <c r="C171" s="55">
        <f>DATE(Anno,5,28)</f>
        <v>45805</v>
      </c>
      <c r="D171" s="51">
        <f t="shared" si="28"/>
        <v>45805</v>
      </c>
      <c r="E171" s="118"/>
      <c r="F171" s="119"/>
      <c r="G171" s="120"/>
      <c r="H171" s="120"/>
      <c r="I171" s="71">
        <f t="shared" si="24"/>
        <v>0</v>
      </c>
      <c r="J171" s="74"/>
      <c r="K171" s="74"/>
      <c r="L171" s="135"/>
      <c r="M171" s="134"/>
      <c r="N171" s="196"/>
      <c r="O171" s="536" t="str">
        <f t="shared" si="25"/>
        <v/>
      </c>
      <c r="P171" s="55">
        <f>DATE(Anno,11,28)</f>
        <v>45989</v>
      </c>
      <c r="Q171" s="51">
        <f t="shared" si="29"/>
        <v>45989</v>
      </c>
      <c r="R171" s="118"/>
      <c r="S171" s="140"/>
      <c r="T171" s="120"/>
      <c r="U171" s="120"/>
      <c r="V171" s="71">
        <f t="shared" si="26"/>
        <v>0</v>
      </c>
      <c r="W171" s="84"/>
      <c r="X171" s="84"/>
      <c r="Y171" s="147"/>
      <c r="Z171" s="134"/>
      <c r="AA171" s="186"/>
      <c r="AB171" s="544" t="str">
        <f t="shared" si="27"/>
        <v/>
      </c>
    </row>
    <row r="172" spans="1:28" ht="13.35" customHeight="1" x14ac:dyDescent="0.2">
      <c r="A172">
        <v>5</v>
      </c>
      <c r="B172">
        <v>29</v>
      </c>
      <c r="C172" s="55">
        <f>DATE(Anno,5,29)</f>
        <v>45806</v>
      </c>
      <c r="D172" s="51">
        <f t="shared" si="28"/>
        <v>45806</v>
      </c>
      <c r="E172" s="118"/>
      <c r="F172" s="119"/>
      <c r="G172" s="120"/>
      <c r="H172" s="120"/>
      <c r="I172" s="71">
        <f t="shared" si="24"/>
        <v>0</v>
      </c>
      <c r="J172" s="494" t="s">
        <v>131</v>
      </c>
      <c r="K172" s="211"/>
      <c r="L172" s="129"/>
      <c r="M172" s="132"/>
      <c r="N172" s="196"/>
      <c r="O172" s="536" t="str">
        <f t="shared" si="25"/>
        <v/>
      </c>
      <c r="P172" s="55">
        <f>DATE(Anno,11,29)</f>
        <v>45990</v>
      </c>
      <c r="Q172" s="51">
        <f t="shared" si="29"/>
        <v>45990</v>
      </c>
      <c r="R172" s="118"/>
      <c r="S172" s="139"/>
      <c r="T172" s="120"/>
      <c r="U172" s="120"/>
      <c r="V172" s="71">
        <f t="shared" si="26"/>
        <v>0</v>
      </c>
      <c r="W172" s="494" t="s">
        <v>131</v>
      </c>
      <c r="X172" s="211"/>
      <c r="Y172" s="144"/>
      <c r="Z172" s="134"/>
      <c r="AA172" s="186"/>
      <c r="AB172" s="544" t="str">
        <f t="shared" si="27"/>
        <v/>
      </c>
    </row>
    <row r="173" spans="1:28" ht="13.35" customHeight="1" thickBot="1" x14ac:dyDescent="0.25">
      <c r="A173">
        <v>5</v>
      </c>
      <c r="B173">
        <v>30</v>
      </c>
      <c r="C173" s="55">
        <f>DATE(Anno,5,30)</f>
        <v>45807</v>
      </c>
      <c r="D173" s="51">
        <f t="shared" si="28"/>
        <v>45807</v>
      </c>
      <c r="E173" s="118"/>
      <c r="F173" s="119"/>
      <c r="G173" s="120"/>
      <c r="H173" s="120"/>
      <c r="I173" s="71">
        <f t="shared" si="24"/>
        <v>0</v>
      </c>
      <c r="J173" s="496"/>
      <c r="K173" s="214"/>
      <c r="L173" s="129"/>
      <c r="M173" s="132"/>
      <c r="N173" s="196"/>
      <c r="O173" s="536" t="str">
        <f t="shared" si="25"/>
        <v/>
      </c>
      <c r="P173" s="55">
        <f>DATE(Anno,11,30)</f>
        <v>45991</v>
      </c>
      <c r="Q173" s="51">
        <f t="shared" si="29"/>
        <v>45991</v>
      </c>
      <c r="R173" s="118"/>
      <c r="S173" s="139"/>
      <c r="T173" s="120"/>
      <c r="U173" s="120"/>
      <c r="V173" s="71">
        <f t="shared" si="26"/>
        <v>0</v>
      </c>
      <c r="W173" s="496"/>
      <c r="X173" s="214"/>
      <c r="Y173" s="144"/>
      <c r="Z173" s="134"/>
      <c r="AA173" s="186"/>
      <c r="AB173" s="544" t="str">
        <f t="shared" si="27"/>
        <v/>
      </c>
    </row>
    <row r="174" spans="1:28" ht="13.35" customHeight="1" thickBot="1" x14ac:dyDescent="0.25">
      <c r="A174">
        <v>5</v>
      </c>
      <c r="B174">
        <v>31</v>
      </c>
      <c r="C174" s="56">
        <f>DATE(Anno,5,31)</f>
        <v>45808</v>
      </c>
      <c r="D174" s="57">
        <f>C174</f>
        <v>45808</v>
      </c>
      <c r="E174" s="124"/>
      <c r="F174" s="175"/>
      <c r="G174" s="126"/>
      <c r="H174" s="126"/>
      <c r="I174" s="71">
        <f t="shared" si="24"/>
        <v>0</v>
      </c>
      <c r="J174" s="70">
        <f>SUM(I144:I174)</f>
        <v>0</v>
      </c>
      <c r="K174" s="269">
        <f>ROUNDDOWN((31*38)/7,0)</f>
        <v>168</v>
      </c>
      <c r="L174" s="136"/>
      <c r="M174" s="137"/>
      <c r="N174" s="197"/>
      <c r="O174" s="536" t="str">
        <f t="shared" si="25"/>
        <v/>
      </c>
      <c r="P174" s="56"/>
      <c r="Q174" s="88"/>
      <c r="R174" s="124"/>
      <c r="S174" s="141"/>
      <c r="T174" s="126"/>
      <c r="U174" s="126"/>
      <c r="V174" s="229" t="str">
        <f t="shared" si="26"/>
        <v/>
      </c>
      <c r="W174" s="250">
        <f>SUM(V144:V174)</f>
        <v>0</v>
      </c>
      <c r="X174" s="269">
        <f>ROUNDDOWN((30*38)/7,0)</f>
        <v>162</v>
      </c>
      <c r="Y174" s="148"/>
      <c r="Z174" s="149"/>
      <c r="AA174" s="256"/>
      <c r="AB174" s="549" t="str">
        <f t="shared" si="27"/>
        <v/>
      </c>
    </row>
    <row r="175" spans="1:28" ht="13.35" customHeight="1" thickBot="1" x14ac:dyDescent="0.25">
      <c r="C175" s="488"/>
      <c r="D175" s="489"/>
      <c r="E175" s="489"/>
      <c r="F175" s="489"/>
      <c r="G175" s="489"/>
      <c r="H175" s="489"/>
      <c r="I175" s="489"/>
      <c r="J175" s="79"/>
      <c r="K175" s="79"/>
      <c r="L175" s="79"/>
      <c r="M175" s="67"/>
      <c r="N175" s="263" t="s">
        <v>188</v>
      </c>
      <c r="O175" s="539">
        <f>COUNTIF(O144:O174,"1")</f>
        <v>0</v>
      </c>
      <c r="P175" s="490"/>
      <c r="Q175" s="490"/>
      <c r="R175" s="490"/>
      <c r="S175" s="490"/>
      <c r="T175" s="490"/>
      <c r="U175" s="490"/>
      <c r="V175" s="490"/>
      <c r="W175" s="85"/>
      <c r="X175" s="85"/>
      <c r="Y175" s="85"/>
      <c r="Z175" s="67"/>
      <c r="AA175" s="263" t="s">
        <v>188</v>
      </c>
      <c r="AB175" s="550">
        <f>COUNTIF(AB144:AB174,"1")</f>
        <v>0</v>
      </c>
    </row>
    <row r="176" spans="1:28" ht="25.35" customHeight="1" thickBot="1" x14ac:dyDescent="0.25">
      <c r="A176" s="35"/>
      <c r="B176" s="35"/>
      <c r="C176" s="238" t="s">
        <v>8</v>
      </c>
      <c r="D176" s="239"/>
      <c r="E176" s="239"/>
      <c r="F176" s="239"/>
      <c r="G176" s="239"/>
      <c r="H176" s="239"/>
      <c r="I176" s="239"/>
      <c r="J176" s="239"/>
      <c r="K176" s="239"/>
      <c r="L176" s="239"/>
      <c r="M176" s="237"/>
      <c r="N176" s="237"/>
      <c r="O176" s="532"/>
      <c r="P176" s="261" t="s">
        <v>14</v>
      </c>
      <c r="Q176" s="261"/>
      <c r="R176" s="261"/>
      <c r="S176" s="261"/>
      <c r="T176" s="261"/>
      <c r="U176" s="261"/>
      <c r="V176" s="261"/>
      <c r="W176" s="261"/>
      <c r="X176" s="261"/>
      <c r="Y176" s="261"/>
      <c r="Z176" s="259"/>
      <c r="AA176" s="259"/>
      <c r="AB176" s="542"/>
    </row>
    <row r="177" spans="1:28" ht="13.35" customHeight="1" thickBot="1" x14ac:dyDescent="0.25">
      <c r="C177" s="499" t="s">
        <v>112</v>
      </c>
      <c r="D177" s="501" t="s">
        <v>100</v>
      </c>
      <c r="E177" s="503" t="s">
        <v>104</v>
      </c>
      <c r="F177" s="491" t="s">
        <v>101</v>
      </c>
      <c r="G177" s="240" t="s">
        <v>129</v>
      </c>
      <c r="H177" s="242"/>
      <c r="I177" s="494" t="s">
        <v>130</v>
      </c>
      <c r="J177" s="513" t="s">
        <v>131</v>
      </c>
      <c r="K177" s="494" t="s">
        <v>152</v>
      </c>
      <c r="L177" s="513" t="s">
        <v>132</v>
      </c>
      <c r="M177" s="497" t="s">
        <v>129</v>
      </c>
      <c r="N177" s="497" t="s">
        <v>144</v>
      </c>
      <c r="O177" s="533" t="s">
        <v>128</v>
      </c>
      <c r="P177" s="499" t="s">
        <v>112</v>
      </c>
      <c r="Q177" s="501" t="s">
        <v>100</v>
      </c>
      <c r="R177" s="503" t="s">
        <v>104</v>
      </c>
      <c r="S177" s="491" t="s">
        <v>101</v>
      </c>
      <c r="T177" s="244" t="s">
        <v>129</v>
      </c>
      <c r="U177" s="242"/>
      <c r="V177" s="494" t="s">
        <v>130</v>
      </c>
      <c r="W177" s="513" t="s">
        <v>131</v>
      </c>
      <c r="X177" s="494" t="s">
        <v>152</v>
      </c>
      <c r="Y177" s="513" t="s">
        <v>132</v>
      </c>
      <c r="Z177" s="497" t="s">
        <v>129</v>
      </c>
      <c r="AA177" s="497" t="s">
        <v>144</v>
      </c>
      <c r="AB177" s="533" t="s">
        <v>128</v>
      </c>
    </row>
    <row r="178" spans="1:28" ht="13.35" customHeight="1" thickBot="1" x14ac:dyDescent="0.25">
      <c r="C178" s="500"/>
      <c r="D178" s="502"/>
      <c r="E178" s="504"/>
      <c r="F178" s="492"/>
      <c r="G178" s="47" t="s">
        <v>102</v>
      </c>
      <c r="H178" s="89" t="s">
        <v>103</v>
      </c>
      <c r="I178" s="496"/>
      <c r="J178" s="514"/>
      <c r="K178" s="496"/>
      <c r="L178" s="514"/>
      <c r="M178" s="498"/>
      <c r="N178" s="498"/>
      <c r="O178" s="534"/>
      <c r="P178" s="515"/>
      <c r="Q178" s="517"/>
      <c r="R178" s="516"/>
      <c r="S178" s="493"/>
      <c r="T178" s="49" t="s">
        <v>102</v>
      </c>
      <c r="U178" s="50" t="s">
        <v>103</v>
      </c>
      <c r="V178" s="495"/>
      <c r="W178" s="518"/>
      <c r="X178" s="495"/>
      <c r="Y178" s="518"/>
      <c r="Z178" s="519"/>
      <c r="AA178" s="519"/>
      <c r="AB178" s="547"/>
    </row>
    <row r="179" spans="1:28" ht="13.35" customHeight="1" x14ac:dyDescent="0.2">
      <c r="A179">
        <v>6</v>
      </c>
      <c r="B179">
        <v>1</v>
      </c>
      <c r="C179" s="58">
        <f>DATE(Anno,6,1)</f>
        <v>45809</v>
      </c>
      <c r="D179" s="40">
        <f>C179</f>
        <v>45809</v>
      </c>
      <c r="E179" s="150"/>
      <c r="F179" s="179"/>
      <c r="G179" s="138"/>
      <c r="H179" s="138"/>
      <c r="I179" s="71">
        <f t="shared" ref="I179:I209" si="30">IF(C179="","",IF(OR(G179="",H179=""),,IF(H179&lt;G179,MOD(H179-G179,1),H179-G179)))</f>
        <v>0</v>
      </c>
      <c r="J179" s="73"/>
      <c r="K179" s="210"/>
      <c r="L179" s="176"/>
      <c r="M179" s="159"/>
      <c r="N179" s="198"/>
      <c r="O179" s="536" t="str">
        <f t="shared" ref="O179:O209" si="31">IF(E179="d","1","")&amp;IF(E179="P","1","")&amp;IF(E179="FL","1","")&amp;IF(E179="IL","1","")&amp;IF(E179="V","1","")</f>
        <v/>
      </c>
      <c r="P179" s="53">
        <f>DATE(Anno,12,1)</f>
        <v>45992</v>
      </c>
      <c r="Q179" s="54">
        <f>P179</f>
        <v>45992</v>
      </c>
      <c r="R179" s="115"/>
      <c r="S179" s="245"/>
      <c r="T179" s="117"/>
      <c r="U179" s="117"/>
      <c r="V179" s="72">
        <f t="shared" ref="V179:V209" si="32">IF(P179="","",IF(OR(T179="",U179=""),,IF(U179&lt;T179,MOD(U179-T179,1),U179-T179)))</f>
        <v>0</v>
      </c>
      <c r="W179" s="246"/>
      <c r="X179" s="246"/>
      <c r="Y179" s="247"/>
      <c r="Z179" s="248"/>
      <c r="AA179" s="249"/>
      <c r="AB179" s="551" t="str">
        <f>IF(R179="d","1","")&amp;IF(R179="P","1","")&amp;IF(R179="FL","1","")&amp;IF(R179="IL","1","")&amp;IF(R179="V","1","")</f>
        <v/>
      </c>
    </row>
    <row r="180" spans="1:28" ht="13.35" customHeight="1" x14ac:dyDescent="0.2">
      <c r="A180">
        <v>6</v>
      </c>
      <c r="B180">
        <v>2</v>
      </c>
      <c r="C180" s="58">
        <f>DATE(Anno,6,2)</f>
        <v>45810</v>
      </c>
      <c r="D180" s="51">
        <f t="shared" ref="D180:D208" si="33">C180</f>
        <v>45810</v>
      </c>
      <c r="E180" s="118"/>
      <c r="F180" s="123"/>
      <c r="G180" s="120"/>
      <c r="H180" s="120"/>
      <c r="I180" s="71">
        <f t="shared" si="30"/>
        <v>0</v>
      </c>
      <c r="J180" s="70"/>
      <c r="K180" s="70"/>
      <c r="L180" s="129"/>
      <c r="M180" s="134"/>
      <c r="N180" s="196"/>
      <c r="O180" s="536" t="str">
        <f t="shared" si="31"/>
        <v/>
      </c>
      <c r="P180" s="55">
        <f>DATE(Anno,12,2)</f>
        <v>45993</v>
      </c>
      <c r="Q180" s="51">
        <f t="shared" ref="Q180:Q209" si="34">P180</f>
        <v>45993</v>
      </c>
      <c r="R180" s="118"/>
      <c r="S180" s="121"/>
      <c r="T180" s="120"/>
      <c r="U180" s="120"/>
      <c r="V180" s="71">
        <f t="shared" si="32"/>
        <v>0</v>
      </c>
      <c r="W180" s="70"/>
      <c r="X180" s="70"/>
      <c r="Y180" s="131"/>
      <c r="Z180" s="132"/>
      <c r="AA180" s="191"/>
      <c r="AB180" s="552" t="str">
        <f t="shared" ref="AB180:AB208" si="35">IF(R180="d","1","")&amp;IF(R180="P","1","")&amp;IF(R180="FL","1","")&amp;IF(R180="IL","1","")&amp;IF(R180="V","1","")</f>
        <v/>
      </c>
    </row>
    <row r="181" spans="1:28" ht="13.35" customHeight="1" x14ac:dyDescent="0.2">
      <c r="A181">
        <v>6</v>
      </c>
      <c r="B181">
        <v>3</v>
      </c>
      <c r="C181" s="55">
        <f>DATE(Anno,6,3)</f>
        <v>45811</v>
      </c>
      <c r="D181" s="51">
        <f t="shared" si="33"/>
        <v>45811</v>
      </c>
      <c r="E181" s="118"/>
      <c r="F181" s="123"/>
      <c r="G181" s="120"/>
      <c r="H181" s="120"/>
      <c r="I181" s="71">
        <f t="shared" si="30"/>
        <v>0</v>
      </c>
      <c r="J181" s="70"/>
      <c r="K181" s="70"/>
      <c r="L181" s="129"/>
      <c r="M181" s="132"/>
      <c r="N181" s="196"/>
      <c r="O181" s="536" t="str">
        <f t="shared" si="31"/>
        <v/>
      </c>
      <c r="P181" s="55">
        <f>DATE(Anno,12,3)</f>
        <v>45994</v>
      </c>
      <c r="Q181" s="51">
        <f t="shared" si="34"/>
        <v>45994</v>
      </c>
      <c r="R181" s="118"/>
      <c r="S181" s="140"/>
      <c r="T181" s="120"/>
      <c r="U181" s="120"/>
      <c r="V181" s="71">
        <f t="shared" si="32"/>
        <v>0</v>
      </c>
      <c r="W181" s="77"/>
      <c r="X181" s="77"/>
      <c r="Y181" s="146"/>
      <c r="Z181" s="134"/>
      <c r="AA181" s="192"/>
      <c r="AB181" s="552" t="str">
        <f t="shared" si="35"/>
        <v/>
      </c>
    </row>
    <row r="182" spans="1:28" ht="13.35" customHeight="1" x14ac:dyDescent="0.2">
      <c r="A182">
        <v>6</v>
      </c>
      <c r="B182">
        <v>4</v>
      </c>
      <c r="C182" s="55">
        <f>DATE(Anno,6,4)</f>
        <v>45812</v>
      </c>
      <c r="D182" s="51">
        <f t="shared" si="33"/>
        <v>45812</v>
      </c>
      <c r="E182" s="118"/>
      <c r="F182" s="119"/>
      <c r="G182" s="120"/>
      <c r="H182" s="120"/>
      <c r="I182" s="71">
        <f t="shared" si="30"/>
        <v>0</v>
      </c>
      <c r="J182" s="71"/>
      <c r="K182" s="71"/>
      <c r="L182" s="129"/>
      <c r="M182" s="134"/>
      <c r="N182" s="196"/>
      <c r="O182" s="536" t="str">
        <f t="shared" si="31"/>
        <v/>
      </c>
      <c r="P182" s="55">
        <f>DATE(Anno,12,4)</f>
        <v>45995</v>
      </c>
      <c r="Q182" s="51">
        <f t="shared" si="34"/>
        <v>45995</v>
      </c>
      <c r="R182" s="118"/>
      <c r="S182" s="140"/>
      <c r="T182" s="120"/>
      <c r="U182" s="120"/>
      <c r="V182" s="71">
        <f t="shared" si="32"/>
        <v>0</v>
      </c>
      <c r="W182" s="77"/>
      <c r="X182" s="77"/>
      <c r="Y182" s="146"/>
      <c r="Z182" s="134"/>
      <c r="AA182" s="192"/>
      <c r="AB182" s="552" t="str">
        <f t="shared" si="35"/>
        <v/>
      </c>
    </row>
    <row r="183" spans="1:28" ht="13.35" customHeight="1" x14ac:dyDescent="0.2">
      <c r="A183">
        <v>6</v>
      </c>
      <c r="B183">
        <v>5</v>
      </c>
      <c r="C183" s="55">
        <f>DATE(Anno,6,5)</f>
        <v>45813</v>
      </c>
      <c r="D183" s="51">
        <f t="shared" si="33"/>
        <v>45813</v>
      </c>
      <c r="E183" s="118"/>
      <c r="F183" s="123"/>
      <c r="G183" s="120"/>
      <c r="H183" s="120"/>
      <c r="I183" s="71">
        <f t="shared" si="30"/>
        <v>0</v>
      </c>
      <c r="J183" s="70"/>
      <c r="K183" s="70"/>
      <c r="L183" s="129"/>
      <c r="M183" s="134"/>
      <c r="N183" s="196"/>
      <c r="O183" s="536" t="str">
        <f t="shared" si="31"/>
        <v/>
      </c>
      <c r="P183" s="55">
        <f>DATE(Anno,12,5)</f>
        <v>45996</v>
      </c>
      <c r="Q183" s="51">
        <f t="shared" si="34"/>
        <v>45996</v>
      </c>
      <c r="R183" s="118"/>
      <c r="S183" s="140"/>
      <c r="T183" s="120"/>
      <c r="U183" s="120"/>
      <c r="V183" s="71">
        <f t="shared" si="32"/>
        <v>0</v>
      </c>
      <c r="W183" s="77"/>
      <c r="X183" s="77"/>
      <c r="Y183" s="146"/>
      <c r="Z183" s="134"/>
      <c r="AA183" s="192"/>
      <c r="AB183" s="552" t="str">
        <f t="shared" si="35"/>
        <v/>
      </c>
    </row>
    <row r="184" spans="1:28" ht="13.35" customHeight="1" x14ac:dyDescent="0.2">
      <c r="A184">
        <v>6</v>
      </c>
      <c r="B184">
        <v>6</v>
      </c>
      <c r="C184" s="55">
        <f>DATE(Anno,6,6)</f>
        <v>45814</v>
      </c>
      <c r="D184" s="51">
        <f t="shared" si="33"/>
        <v>45814</v>
      </c>
      <c r="E184" s="118"/>
      <c r="F184" s="123"/>
      <c r="G184" s="120"/>
      <c r="H184" s="120"/>
      <c r="I184" s="71">
        <f t="shared" si="30"/>
        <v>0</v>
      </c>
      <c r="J184" s="70"/>
      <c r="K184" s="70"/>
      <c r="L184" s="129"/>
      <c r="M184" s="134"/>
      <c r="N184" s="196"/>
      <c r="O184" s="536" t="str">
        <f t="shared" si="31"/>
        <v/>
      </c>
      <c r="P184" s="55">
        <f>DATE(Anno,12,6)</f>
        <v>45997</v>
      </c>
      <c r="Q184" s="51">
        <f t="shared" si="34"/>
        <v>45997</v>
      </c>
      <c r="R184" s="118"/>
      <c r="S184" s="140"/>
      <c r="T184" s="120"/>
      <c r="U184" s="120"/>
      <c r="V184" s="71">
        <f t="shared" si="32"/>
        <v>0</v>
      </c>
      <c r="W184" s="77"/>
      <c r="X184" s="77"/>
      <c r="Y184" s="146"/>
      <c r="Z184" s="134"/>
      <c r="AA184" s="192"/>
      <c r="AB184" s="552" t="str">
        <f t="shared" si="35"/>
        <v/>
      </c>
    </row>
    <row r="185" spans="1:28" ht="13.35" customHeight="1" x14ac:dyDescent="0.2">
      <c r="A185">
        <v>6</v>
      </c>
      <c r="B185">
        <v>7</v>
      </c>
      <c r="C185" s="55">
        <f>DATE(Anno,6,7)</f>
        <v>45815</v>
      </c>
      <c r="D185" s="51">
        <f t="shared" si="33"/>
        <v>45815</v>
      </c>
      <c r="E185" s="118"/>
      <c r="F185" s="123"/>
      <c r="G185" s="120"/>
      <c r="H185" s="120"/>
      <c r="I185" s="71">
        <f t="shared" si="30"/>
        <v>0</v>
      </c>
      <c r="J185" s="70"/>
      <c r="K185" s="70"/>
      <c r="L185" s="129"/>
      <c r="M185" s="134"/>
      <c r="N185" s="196"/>
      <c r="O185" s="536" t="str">
        <f t="shared" si="31"/>
        <v/>
      </c>
      <c r="P185" s="55">
        <f>DATE(Anno,12,7)</f>
        <v>45998</v>
      </c>
      <c r="Q185" s="51">
        <f t="shared" si="34"/>
        <v>45998</v>
      </c>
      <c r="R185" s="118"/>
      <c r="S185" s="140"/>
      <c r="T185" s="120"/>
      <c r="U185" s="120"/>
      <c r="V185" s="71">
        <f t="shared" si="32"/>
        <v>0</v>
      </c>
      <c r="W185" s="77"/>
      <c r="X185" s="77"/>
      <c r="Y185" s="146"/>
      <c r="Z185" s="145"/>
      <c r="AA185" s="193"/>
      <c r="AB185" s="552" t="str">
        <f t="shared" si="35"/>
        <v/>
      </c>
    </row>
    <row r="186" spans="1:28" ht="13.35" customHeight="1" x14ac:dyDescent="0.2">
      <c r="A186">
        <v>6</v>
      </c>
      <c r="B186">
        <v>8</v>
      </c>
      <c r="C186" s="55">
        <f>DATE(Anno,6,8)</f>
        <v>45816</v>
      </c>
      <c r="D186" s="51">
        <f t="shared" si="33"/>
        <v>45816</v>
      </c>
      <c r="E186" s="118"/>
      <c r="F186" s="123"/>
      <c r="G186" s="120"/>
      <c r="H186" s="120"/>
      <c r="I186" s="71">
        <f t="shared" si="30"/>
        <v>0</v>
      </c>
      <c r="K186" s="220"/>
      <c r="L186" s="129"/>
      <c r="M186" s="134"/>
      <c r="N186" s="196"/>
      <c r="O186" s="536" t="str">
        <f t="shared" si="31"/>
        <v/>
      </c>
      <c r="P186" s="55">
        <f>DATE(Anno,12,8)</f>
        <v>45999</v>
      </c>
      <c r="Q186" s="51">
        <f t="shared" si="34"/>
        <v>45999</v>
      </c>
      <c r="R186" s="118"/>
      <c r="S186" s="140"/>
      <c r="T186" s="120"/>
      <c r="U186" s="120"/>
      <c r="V186" s="71">
        <f t="shared" si="32"/>
        <v>0</v>
      </c>
      <c r="W186" s="70"/>
      <c r="X186" s="70"/>
      <c r="Y186" s="146"/>
      <c r="Z186" s="160"/>
      <c r="AA186" s="194"/>
      <c r="AB186" s="552" t="str">
        <f t="shared" si="35"/>
        <v/>
      </c>
    </row>
    <row r="187" spans="1:28" ht="13.35" customHeight="1" x14ac:dyDescent="0.2">
      <c r="A187">
        <v>6</v>
      </c>
      <c r="B187">
        <v>9</v>
      </c>
      <c r="C187" s="55">
        <f>DATE(Anno,6,9)</f>
        <v>45817</v>
      </c>
      <c r="D187" s="51">
        <f t="shared" si="33"/>
        <v>45817</v>
      </c>
      <c r="E187" s="118"/>
      <c r="F187" s="123"/>
      <c r="G187" s="120"/>
      <c r="H187" s="120"/>
      <c r="I187" s="71">
        <f t="shared" si="30"/>
        <v>0</v>
      </c>
      <c r="J187" s="70"/>
      <c r="K187" s="70"/>
      <c r="L187" s="129"/>
      <c r="M187" s="134"/>
      <c r="N187" s="196"/>
      <c r="O187" s="536" t="str">
        <f t="shared" si="31"/>
        <v/>
      </c>
      <c r="P187" s="55">
        <f>DATE(Anno,12,9)</f>
        <v>46000</v>
      </c>
      <c r="Q187" s="51">
        <f t="shared" si="34"/>
        <v>46000</v>
      </c>
      <c r="R187" s="118"/>
      <c r="S187" s="140"/>
      <c r="T187" s="120"/>
      <c r="U187" s="120"/>
      <c r="V187" s="71">
        <f t="shared" si="32"/>
        <v>0</v>
      </c>
      <c r="W187" s="77"/>
      <c r="X187" s="77"/>
      <c r="Y187" s="146"/>
      <c r="Z187" s="160"/>
      <c r="AA187" s="194"/>
      <c r="AB187" s="552" t="str">
        <f t="shared" si="35"/>
        <v/>
      </c>
    </row>
    <row r="188" spans="1:28" ht="13.35" customHeight="1" x14ac:dyDescent="0.2">
      <c r="A188">
        <v>6</v>
      </c>
      <c r="B188">
        <v>10</v>
      </c>
      <c r="C188" s="55">
        <f>DATE(Anno,6,10)</f>
        <v>45818</v>
      </c>
      <c r="D188" s="51">
        <f t="shared" si="33"/>
        <v>45818</v>
      </c>
      <c r="E188" s="118"/>
      <c r="F188" s="119"/>
      <c r="G188" s="120"/>
      <c r="H188" s="120"/>
      <c r="I188" s="71">
        <f t="shared" si="30"/>
        <v>0</v>
      </c>
      <c r="J188" s="71"/>
      <c r="K188" s="71"/>
      <c r="L188" s="129"/>
      <c r="M188" s="134"/>
      <c r="N188" s="196"/>
      <c r="O188" s="536" t="str">
        <f t="shared" si="31"/>
        <v/>
      </c>
      <c r="P188" s="55">
        <f>DATE(Anno,12,10)</f>
        <v>46001</v>
      </c>
      <c r="Q188" s="51">
        <f t="shared" si="34"/>
        <v>46001</v>
      </c>
      <c r="R188" s="118"/>
      <c r="S188" s="183"/>
      <c r="T188" s="120"/>
      <c r="U188" s="120"/>
      <c r="V188" s="71">
        <f t="shared" si="32"/>
        <v>0</v>
      </c>
      <c r="W188" s="77"/>
      <c r="X188" s="77"/>
      <c r="Y188" s="146"/>
      <c r="Z188" s="145"/>
      <c r="AA188" s="193"/>
      <c r="AB188" s="552" t="str">
        <f t="shared" si="35"/>
        <v/>
      </c>
    </row>
    <row r="189" spans="1:28" ht="13.35" customHeight="1" x14ac:dyDescent="0.2">
      <c r="A189">
        <v>6</v>
      </c>
      <c r="B189">
        <v>11</v>
      </c>
      <c r="C189" s="55">
        <f>DATE(Anno,6,11)</f>
        <v>45819</v>
      </c>
      <c r="D189" s="51">
        <f t="shared" si="33"/>
        <v>45819</v>
      </c>
      <c r="E189" s="118"/>
      <c r="F189" s="119"/>
      <c r="G189" s="120"/>
      <c r="H189" s="120"/>
      <c r="I189" s="71">
        <f t="shared" si="30"/>
        <v>0</v>
      </c>
      <c r="J189" s="71"/>
      <c r="K189" s="71"/>
      <c r="L189" s="129"/>
      <c r="M189" s="132"/>
      <c r="N189" s="196"/>
      <c r="O189" s="536" t="str">
        <f t="shared" si="31"/>
        <v/>
      </c>
      <c r="P189" s="55">
        <f>DATE(Anno,12,11)</f>
        <v>46002</v>
      </c>
      <c r="Q189" s="51">
        <f t="shared" si="34"/>
        <v>46002</v>
      </c>
      <c r="R189" s="118"/>
      <c r="S189" s="139"/>
      <c r="T189" s="120"/>
      <c r="U189" s="120"/>
      <c r="V189" s="71">
        <f t="shared" si="32"/>
        <v>0</v>
      </c>
      <c r="W189" s="52"/>
      <c r="X189" s="52"/>
      <c r="Y189" s="146"/>
      <c r="Z189" s="134"/>
      <c r="AA189" s="192"/>
      <c r="AB189" s="552" t="str">
        <f t="shared" si="35"/>
        <v/>
      </c>
    </row>
    <row r="190" spans="1:28" ht="13.35" customHeight="1" x14ac:dyDescent="0.2">
      <c r="A190">
        <v>6</v>
      </c>
      <c r="B190">
        <v>12</v>
      </c>
      <c r="C190" s="55">
        <f>DATE(Anno,6,12)</f>
        <v>45820</v>
      </c>
      <c r="D190" s="51">
        <f t="shared" si="33"/>
        <v>45820</v>
      </c>
      <c r="E190" s="118"/>
      <c r="F190" s="123"/>
      <c r="G190" s="120"/>
      <c r="H190" s="120"/>
      <c r="I190" s="71">
        <f t="shared" si="30"/>
        <v>0</v>
      </c>
      <c r="J190" s="74"/>
      <c r="K190" s="74"/>
      <c r="L190" s="135"/>
      <c r="M190" s="134"/>
      <c r="N190" s="196"/>
      <c r="O190" s="536" t="str">
        <f t="shared" si="31"/>
        <v/>
      </c>
      <c r="P190" s="55">
        <f>DATE(Anno,12,12)</f>
        <v>46003</v>
      </c>
      <c r="Q190" s="51">
        <f t="shared" si="34"/>
        <v>46003</v>
      </c>
      <c r="R190" s="118"/>
      <c r="S190" s="140"/>
      <c r="T190" s="120"/>
      <c r="U190" s="120"/>
      <c r="V190" s="71">
        <f t="shared" si="32"/>
        <v>0</v>
      </c>
      <c r="W190" s="77"/>
      <c r="X190" s="77"/>
      <c r="Y190" s="146"/>
      <c r="Z190" s="134"/>
      <c r="AA190" s="192"/>
      <c r="AB190" s="552" t="str">
        <f t="shared" si="35"/>
        <v/>
      </c>
    </row>
    <row r="191" spans="1:28" ht="13.35" customHeight="1" x14ac:dyDescent="0.2">
      <c r="A191">
        <v>6</v>
      </c>
      <c r="B191">
        <v>13</v>
      </c>
      <c r="C191" s="55">
        <f>DATE(Anno,6,13)</f>
        <v>45821</v>
      </c>
      <c r="D191" s="51">
        <f t="shared" si="33"/>
        <v>45821</v>
      </c>
      <c r="E191" s="118"/>
      <c r="F191" s="123"/>
      <c r="G191" s="120"/>
      <c r="H191" s="120"/>
      <c r="I191" s="71">
        <f t="shared" si="30"/>
        <v>0</v>
      </c>
      <c r="J191" s="71"/>
      <c r="K191" s="71"/>
      <c r="L191" s="129"/>
      <c r="M191" s="132"/>
      <c r="N191" s="196"/>
      <c r="O191" s="536" t="str">
        <f t="shared" si="31"/>
        <v/>
      </c>
      <c r="P191" s="55">
        <f>DATE(Anno,12,13)</f>
        <v>46004</v>
      </c>
      <c r="Q191" s="51">
        <f t="shared" si="34"/>
        <v>46004</v>
      </c>
      <c r="R191" s="118"/>
      <c r="S191" s="140"/>
      <c r="T191" s="120"/>
      <c r="U191" s="120"/>
      <c r="V191" s="71">
        <f t="shared" si="32"/>
        <v>0</v>
      </c>
      <c r="W191" s="77"/>
      <c r="X191" s="77"/>
      <c r="Y191" s="146"/>
      <c r="Z191" s="134"/>
      <c r="AA191" s="192"/>
      <c r="AB191" s="552" t="str">
        <f t="shared" si="35"/>
        <v/>
      </c>
    </row>
    <row r="192" spans="1:28" ht="13.35" customHeight="1" x14ac:dyDescent="0.2">
      <c r="A192">
        <v>6</v>
      </c>
      <c r="B192">
        <v>14</v>
      </c>
      <c r="C192" s="55">
        <f>DATE(Anno,6,14)</f>
        <v>45822</v>
      </c>
      <c r="D192" s="51">
        <f t="shared" si="33"/>
        <v>45822</v>
      </c>
      <c r="E192" s="118"/>
      <c r="F192" s="123"/>
      <c r="G192" s="120"/>
      <c r="H192" s="120"/>
      <c r="I192" s="71">
        <f t="shared" si="30"/>
        <v>0</v>
      </c>
      <c r="J192" s="71"/>
      <c r="K192" s="71"/>
      <c r="L192" s="129"/>
      <c r="M192" s="134"/>
      <c r="N192" s="196"/>
      <c r="O192" s="536" t="str">
        <f t="shared" si="31"/>
        <v/>
      </c>
      <c r="P192" s="55">
        <f>DATE(Anno,12,14)</f>
        <v>46005</v>
      </c>
      <c r="Q192" s="51">
        <f t="shared" si="34"/>
        <v>46005</v>
      </c>
      <c r="R192" s="118"/>
      <c r="S192" s="140"/>
      <c r="T192" s="120"/>
      <c r="U192" s="120"/>
      <c r="V192" s="71">
        <f t="shared" si="32"/>
        <v>0</v>
      </c>
      <c r="W192" s="77"/>
      <c r="X192" s="77"/>
      <c r="Y192" s="146"/>
      <c r="Z192" s="134"/>
      <c r="AA192" s="192"/>
      <c r="AB192" s="552" t="str">
        <f t="shared" si="35"/>
        <v/>
      </c>
    </row>
    <row r="193" spans="1:28" ht="13.35" customHeight="1" x14ac:dyDescent="0.2">
      <c r="A193">
        <v>6</v>
      </c>
      <c r="B193">
        <v>15</v>
      </c>
      <c r="C193" s="55">
        <f>DATE(Anno,6,15)</f>
        <v>45823</v>
      </c>
      <c r="D193" s="51">
        <f t="shared" si="33"/>
        <v>45823</v>
      </c>
      <c r="E193" s="118"/>
      <c r="F193" s="123"/>
      <c r="G193" s="120"/>
      <c r="H193" s="120"/>
      <c r="I193" s="71">
        <f t="shared" si="30"/>
        <v>0</v>
      </c>
      <c r="J193" s="71"/>
      <c r="K193" s="71"/>
      <c r="L193" s="129"/>
      <c r="M193" s="134"/>
      <c r="N193" s="196"/>
      <c r="O193" s="536" t="str">
        <f t="shared" si="31"/>
        <v/>
      </c>
      <c r="P193" s="55">
        <f>DATE(Anno,12,15)</f>
        <v>46006</v>
      </c>
      <c r="Q193" s="51">
        <f t="shared" si="34"/>
        <v>46006</v>
      </c>
      <c r="R193" s="118"/>
      <c r="S193" s="140"/>
      <c r="T193" s="120"/>
      <c r="U193" s="120"/>
      <c r="V193" s="71">
        <f t="shared" si="32"/>
        <v>0</v>
      </c>
      <c r="W193" s="70"/>
      <c r="X193" s="70"/>
      <c r="Y193" s="144"/>
      <c r="Z193" s="134"/>
      <c r="AA193" s="192"/>
      <c r="AB193" s="552" t="str">
        <f t="shared" si="35"/>
        <v/>
      </c>
    </row>
    <row r="194" spans="1:28" ht="13.35" customHeight="1" x14ac:dyDescent="0.2">
      <c r="A194">
        <v>6</v>
      </c>
      <c r="B194">
        <v>16</v>
      </c>
      <c r="C194" s="55">
        <f>DATE(Anno,6,16)</f>
        <v>45824</v>
      </c>
      <c r="D194" s="51">
        <f t="shared" si="33"/>
        <v>45824</v>
      </c>
      <c r="E194" s="118"/>
      <c r="F194" s="119"/>
      <c r="G194" s="120"/>
      <c r="H194" s="120"/>
      <c r="I194" s="71">
        <f t="shared" si="30"/>
        <v>0</v>
      </c>
      <c r="J194" s="70"/>
      <c r="K194" s="70"/>
      <c r="L194" s="129"/>
      <c r="M194" s="134"/>
      <c r="N194" s="196"/>
      <c r="O194" s="536" t="str">
        <f t="shared" si="31"/>
        <v/>
      </c>
      <c r="P194" s="55">
        <f>DATE(Anno,12,16)</f>
        <v>46007</v>
      </c>
      <c r="Q194" s="51">
        <f t="shared" si="34"/>
        <v>46007</v>
      </c>
      <c r="R194" s="118"/>
      <c r="S194" s="140"/>
      <c r="T194" s="120"/>
      <c r="U194" s="120"/>
      <c r="V194" s="71">
        <f t="shared" si="32"/>
        <v>0</v>
      </c>
      <c r="W194" s="83"/>
      <c r="X194" s="83"/>
      <c r="Y194" s="144"/>
      <c r="Z194" s="145"/>
      <c r="AA194" s="193"/>
      <c r="AB194" s="552" t="str">
        <f t="shared" si="35"/>
        <v/>
      </c>
    </row>
    <row r="195" spans="1:28" ht="13.35" customHeight="1" x14ac:dyDescent="0.2">
      <c r="A195">
        <v>6</v>
      </c>
      <c r="B195">
        <v>17</v>
      </c>
      <c r="C195" s="55">
        <f>DATE(Anno,6,17)</f>
        <v>45825</v>
      </c>
      <c r="D195" s="51">
        <f t="shared" si="33"/>
        <v>45825</v>
      </c>
      <c r="E195" s="118"/>
      <c r="F195" s="119"/>
      <c r="G195" s="120"/>
      <c r="H195" s="120"/>
      <c r="I195" s="71">
        <f t="shared" si="30"/>
        <v>0</v>
      </c>
      <c r="J195" s="71"/>
      <c r="K195" s="71"/>
      <c r="L195" s="129"/>
      <c r="M195" s="134"/>
      <c r="N195" s="196"/>
      <c r="O195" s="536" t="str">
        <f t="shared" si="31"/>
        <v/>
      </c>
      <c r="P195" s="55">
        <f>DATE(Anno,12,17)</f>
        <v>46008</v>
      </c>
      <c r="Q195" s="51">
        <f t="shared" si="34"/>
        <v>46008</v>
      </c>
      <c r="R195" s="118"/>
      <c r="S195" s="139"/>
      <c r="T195" s="120"/>
      <c r="U195" s="120"/>
      <c r="V195" s="71">
        <f t="shared" si="32"/>
        <v>0</v>
      </c>
      <c r="W195" s="83"/>
      <c r="X195" s="83"/>
      <c r="Y195" s="144"/>
      <c r="Z195" s="134"/>
      <c r="AA195" s="192"/>
      <c r="AB195" s="552" t="str">
        <f t="shared" si="35"/>
        <v/>
      </c>
    </row>
    <row r="196" spans="1:28" ht="13.35" customHeight="1" x14ac:dyDescent="0.2">
      <c r="A196">
        <v>6</v>
      </c>
      <c r="B196">
        <v>18</v>
      </c>
      <c r="C196" s="55">
        <f>DATE(Anno,6,18)</f>
        <v>45826</v>
      </c>
      <c r="D196" s="51">
        <f t="shared" si="33"/>
        <v>45826</v>
      </c>
      <c r="E196" s="118"/>
      <c r="F196" s="123"/>
      <c r="G196" s="120"/>
      <c r="H196" s="120"/>
      <c r="I196" s="71">
        <f t="shared" si="30"/>
        <v>0</v>
      </c>
      <c r="J196" s="71"/>
      <c r="K196" s="71"/>
      <c r="L196" s="129"/>
      <c r="M196" s="134"/>
      <c r="N196" s="196"/>
      <c r="O196" s="536" t="str">
        <f t="shared" si="31"/>
        <v/>
      </c>
      <c r="P196" s="55">
        <f>DATE(Anno,12,18)</f>
        <v>46009</v>
      </c>
      <c r="Q196" s="51">
        <f t="shared" si="34"/>
        <v>46009</v>
      </c>
      <c r="R196" s="118"/>
      <c r="S196" s="140"/>
      <c r="T196" s="120"/>
      <c r="U196" s="120"/>
      <c r="V196" s="71">
        <f t="shared" si="32"/>
        <v>0</v>
      </c>
      <c r="W196" s="77"/>
      <c r="X196" s="77"/>
      <c r="Y196" s="146"/>
      <c r="Z196" s="134"/>
      <c r="AA196" s="192"/>
      <c r="AB196" s="552" t="str">
        <f t="shared" si="35"/>
        <v/>
      </c>
    </row>
    <row r="197" spans="1:28" ht="13.35" customHeight="1" x14ac:dyDescent="0.2">
      <c r="A197">
        <v>6</v>
      </c>
      <c r="B197">
        <v>19</v>
      </c>
      <c r="C197" s="55">
        <f>DATE(Anno,6,19)</f>
        <v>45827</v>
      </c>
      <c r="D197" s="51">
        <f t="shared" si="33"/>
        <v>45827</v>
      </c>
      <c r="E197" s="118"/>
      <c r="F197" s="123"/>
      <c r="G197" s="120"/>
      <c r="H197" s="120"/>
      <c r="I197" s="71">
        <f t="shared" si="30"/>
        <v>0</v>
      </c>
      <c r="J197" s="71"/>
      <c r="K197" s="71"/>
      <c r="L197" s="129"/>
      <c r="M197" s="134"/>
      <c r="N197" s="196"/>
      <c r="O197" s="536" t="str">
        <f t="shared" si="31"/>
        <v/>
      </c>
      <c r="P197" s="55">
        <f>DATE(Anno,12,19)</f>
        <v>46010</v>
      </c>
      <c r="Q197" s="51">
        <f t="shared" si="34"/>
        <v>46010</v>
      </c>
      <c r="R197" s="118"/>
      <c r="S197" s="140"/>
      <c r="T197" s="120"/>
      <c r="U197" s="120"/>
      <c r="V197" s="71">
        <f t="shared" si="32"/>
        <v>0</v>
      </c>
      <c r="W197" s="77"/>
      <c r="X197" s="77"/>
      <c r="Y197" s="146"/>
      <c r="Z197" s="134"/>
      <c r="AA197" s="192"/>
      <c r="AB197" s="552" t="str">
        <f t="shared" si="35"/>
        <v/>
      </c>
    </row>
    <row r="198" spans="1:28" ht="13.35" customHeight="1" x14ac:dyDescent="0.2">
      <c r="A198">
        <v>6</v>
      </c>
      <c r="B198">
        <v>20</v>
      </c>
      <c r="C198" s="55">
        <f>DATE(Anno,6,20)</f>
        <v>45828</v>
      </c>
      <c r="D198" s="51">
        <f t="shared" si="33"/>
        <v>45828</v>
      </c>
      <c r="E198" s="118"/>
      <c r="F198" s="123"/>
      <c r="G198" s="120"/>
      <c r="H198" s="120"/>
      <c r="I198" s="71">
        <f t="shared" si="30"/>
        <v>0</v>
      </c>
      <c r="J198" s="71"/>
      <c r="K198" s="71"/>
      <c r="L198" s="129"/>
      <c r="M198" s="134"/>
      <c r="N198" s="196"/>
      <c r="O198" s="536" t="str">
        <f t="shared" si="31"/>
        <v/>
      </c>
      <c r="P198" s="55">
        <f>DATE(Anno,12,20)</f>
        <v>46011</v>
      </c>
      <c r="Q198" s="51">
        <f t="shared" si="34"/>
        <v>46011</v>
      </c>
      <c r="R198" s="118"/>
      <c r="S198" s="139"/>
      <c r="T198" s="120"/>
      <c r="U198" s="120"/>
      <c r="V198" s="71">
        <f t="shared" si="32"/>
        <v>0</v>
      </c>
      <c r="W198" s="83"/>
      <c r="X198" s="83"/>
      <c r="Y198" s="144"/>
      <c r="Z198" s="134"/>
      <c r="AA198" s="192"/>
      <c r="AB198" s="552" t="str">
        <f t="shared" si="35"/>
        <v/>
      </c>
    </row>
    <row r="199" spans="1:28" ht="13.35" customHeight="1" x14ac:dyDescent="0.2">
      <c r="A199">
        <v>6</v>
      </c>
      <c r="B199">
        <v>21</v>
      </c>
      <c r="C199" s="55">
        <f>DATE(Anno,6,21)</f>
        <v>45829</v>
      </c>
      <c r="D199" s="51">
        <f t="shared" si="33"/>
        <v>45829</v>
      </c>
      <c r="E199" s="118"/>
      <c r="F199" s="123"/>
      <c r="G199" s="120"/>
      <c r="H199" s="120"/>
      <c r="I199" s="71">
        <f t="shared" si="30"/>
        <v>0</v>
      </c>
      <c r="J199" s="71"/>
      <c r="K199" s="71"/>
      <c r="L199" s="129"/>
      <c r="M199" s="134"/>
      <c r="N199" s="196"/>
      <c r="O199" s="536" t="str">
        <f t="shared" si="31"/>
        <v/>
      </c>
      <c r="P199" s="55">
        <f>DATE(Anno,12,21)</f>
        <v>46012</v>
      </c>
      <c r="Q199" s="51">
        <f t="shared" si="34"/>
        <v>46012</v>
      </c>
      <c r="R199" s="118"/>
      <c r="S199" s="140"/>
      <c r="T199" s="120"/>
      <c r="U199" s="120"/>
      <c r="V199" s="71">
        <f t="shared" si="32"/>
        <v>0</v>
      </c>
      <c r="W199" s="83"/>
      <c r="X199" s="83"/>
      <c r="Y199" s="144"/>
      <c r="Z199" s="145"/>
      <c r="AA199" s="193"/>
      <c r="AB199" s="552" t="str">
        <f t="shared" si="35"/>
        <v/>
      </c>
    </row>
    <row r="200" spans="1:28" ht="13.35" customHeight="1" x14ac:dyDescent="0.2">
      <c r="A200">
        <v>6</v>
      </c>
      <c r="B200">
        <v>22</v>
      </c>
      <c r="C200" s="55">
        <f>DATE(Anno,6,22)</f>
        <v>45830</v>
      </c>
      <c r="D200" s="51">
        <f t="shared" si="33"/>
        <v>45830</v>
      </c>
      <c r="E200" s="118"/>
      <c r="F200" s="123"/>
      <c r="G200" s="120"/>
      <c r="H200" s="120"/>
      <c r="I200" s="71">
        <f t="shared" si="30"/>
        <v>0</v>
      </c>
      <c r="J200" s="71"/>
      <c r="K200" s="71"/>
      <c r="L200" s="129"/>
      <c r="M200" s="134"/>
      <c r="N200" s="196"/>
      <c r="O200" s="536" t="str">
        <f t="shared" si="31"/>
        <v/>
      </c>
      <c r="P200" s="55">
        <f>DATE(Anno,12,22)</f>
        <v>46013</v>
      </c>
      <c r="Q200" s="51">
        <f t="shared" si="34"/>
        <v>46013</v>
      </c>
      <c r="R200" s="118"/>
      <c r="S200" s="140"/>
      <c r="T200" s="120"/>
      <c r="U200" s="120"/>
      <c r="V200" s="71">
        <f t="shared" si="32"/>
        <v>0</v>
      </c>
      <c r="W200" s="70"/>
      <c r="X200" s="70"/>
      <c r="Y200" s="144"/>
      <c r="Z200" s="160"/>
      <c r="AA200" s="194"/>
      <c r="AB200" s="552" t="str">
        <f t="shared" si="35"/>
        <v/>
      </c>
    </row>
    <row r="201" spans="1:28" ht="13.35" customHeight="1" x14ac:dyDescent="0.2">
      <c r="A201">
        <v>6</v>
      </c>
      <c r="B201">
        <v>23</v>
      </c>
      <c r="C201" s="55">
        <f>DATE(Anno,6,23)</f>
        <v>45831</v>
      </c>
      <c r="D201" s="51">
        <f t="shared" si="33"/>
        <v>45831</v>
      </c>
      <c r="E201" s="118"/>
      <c r="F201" s="123"/>
      <c r="G201" s="120"/>
      <c r="H201" s="120"/>
      <c r="I201" s="71">
        <f t="shared" si="30"/>
        <v>0</v>
      </c>
      <c r="J201" s="70"/>
      <c r="K201" s="70"/>
      <c r="L201" s="129"/>
      <c r="M201" s="134"/>
      <c r="N201" s="196"/>
      <c r="O201" s="536" t="str">
        <f t="shared" si="31"/>
        <v/>
      </c>
      <c r="P201" s="55">
        <f>DATE(Anno,12,23)</f>
        <v>46014</v>
      </c>
      <c r="Q201" s="51">
        <f t="shared" si="34"/>
        <v>46014</v>
      </c>
      <c r="R201" s="118"/>
      <c r="S201" s="139"/>
      <c r="T201" s="120"/>
      <c r="U201" s="120"/>
      <c r="V201" s="71">
        <f t="shared" si="32"/>
        <v>0</v>
      </c>
      <c r="W201" s="83"/>
      <c r="X201" s="83"/>
      <c r="Y201" s="144"/>
      <c r="Z201" s="160"/>
      <c r="AA201" s="194"/>
      <c r="AB201" s="552" t="str">
        <f t="shared" si="35"/>
        <v/>
      </c>
    </row>
    <row r="202" spans="1:28" ht="13.35" customHeight="1" x14ac:dyDescent="0.2">
      <c r="A202">
        <v>6</v>
      </c>
      <c r="B202">
        <v>24</v>
      </c>
      <c r="C202" s="55">
        <f>DATE(Anno,6,24)</f>
        <v>45832</v>
      </c>
      <c r="D202" s="51">
        <f t="shared" si="33"/>
        <v>45832</v>
      </c>
      <c r="E202" s="118"/>
      <c r="F202" s="123"/>
      <c r="G202" s="120"/>
      <c r="H202" s="120"/>
      <c r="I202" s="71">
        <f t="shared" si="30"/>
        <v>0</v>
      </c>
      <c r="J202" s="70"/>
      <c r="K202" s="70"/>
      <c r="L202" s="129"/>
      <c r="M202" s="134"/>
      <c r="N202" s="196"/>
      <c r="O202" s="536" t="str">
        <f t="shared" si="31"/>
        <v/>
      </c>
      <c r="P202" s="55">
        <f>DATE(Anno,12,24)</f>
        <v>46015</v>
      </c>
      <c r="Q202" s="51">
        <f t="shared" si="34"/>
        <v>46015</v>
      </c>
      <c r="R202" s="118"/>
      <c r="S202" s="139"/>
      <c r="T202" s="120"/>
      <c r="U202" s="120"/>
      <c r="V202" s="71">
        <f t="shared" si="32"/>
        <v>0</v>
      </c>
      <c r="W202" s="83"/>
      <c r="X202" s="83"/>
      <c r="Y202" s="144"/>
      <c r="Z202" s="145"/>
      <c r="AA202" s="193"/>
      <c r="AB202" s="552" t="str">
        <f t="shared" si="35"/>
        <v/>
      </c>
    </row>
    <row r="203" spans="1:28" ht="13.35" customHeight="1" x14ac:dyDescent="0.2">
      <c r="A203">
        <v>6</v>
      </c>
      <c r="B203">
        <v>25</v>
      </c>
      <c r="C203" s="55">
        <f>DATE(Anno,6,25)</f>
        <v>45833</v>
      </c>
      <c r="D203" s="51">
        <f t="shared" si="33"/>
        <v>45833</v>
      </c>
      <c r="E203" s="118"/>
      <c r="F203" s="123"/>
      <c r="G203" s="120"/>
      <c r="H203" s="120"/>
      <c r="I203" s="71">
        <f t="shared" si="30"/>
        <v>0</v>
      </c>
      <c r="J203" s="71"/>
      <c r="K203" s="71"/>
      <c r="L203" s="129"/>
      <c r="M203" s="134"/>
      <c r="N203" s="196"/>
      <c r="O203" s="536" t="str">
        <f t="shared" si="31"/>
        <v/>
      </c>
      <c r="P203" s="55">
        <f>DATE(Anno,12,25)</f>
        <v>46016</v>
      </c>
      <c r="Q203" s="51">
        <f t="shared" si="34"/>
        <v>46016</v>
      </c>
      <c r="R203" s="118"/>
      <c r="S203" s="139"/>
      <c r="T203" s="120"/>
      <c r="U203" s="120"/>
      <c r="V203" s="71">
        <f t="shared" si="32"/>
        <v>0</v>
      </c>
      <c r="W203" s="83"/>
      <c r="X203" s="83"/>
      <c r="Y203" s="144"/>
      <c r="Z203" s="145"/>
      <c r="AA203" s="193"/>
      <c r="AB203" s="552" t="str">
        <f t="shared" si="35"/>
        <v/>
      </c>
    </row>
    <row r="204" spans="1:28" ht="13.35" customHeight="1" x14ac:dyDescent="0.2">
      <c r="A204">
        <v>6</v>
      </c>
      <c r="B204">
        <v>26</v>
      </c>
      <c r="C204" s="55">
        <f>DATE(Anno,6,26)</f>
        <v>45834</v>
      </c>
      <c r="D204" s="51">
        <f t="shared" si="33"/>
        <v>45834</v>
      </c>
      <c r="E204" s="118"/>
      <c r="F204" s="123"/>
      <c r="G204" s="120"/>
      <c r="H204" s="120"/>
      <c r="I204" s="71">
        <f t="shared" si="30"/>
        <v>0</v>
      </c>
      <c r="J204" s="71"/>
      <c r="K204" s="71"/>
      <c r="L204" s="129"/>
      <c r="M204" s="134"/>
      <c r="N204" s="196"/>
      <c r="O204" s="536" t="str">
        <f t="shared" si="31"/>
        <v/>
      </c>
      <c r="P204" s="55">
        <f>DATE(Anno,12,26)</f>
        <v>46017</v>
      </c>
      <c r="Q204" s="51">
        <f t="shared" si="34"/>
        <v>46017</v>
      </c>
      <c r="R204" s="118"/>
      <c r="S204" s="140"/>
      <c r="T204" s="120"/>
      <c r="U204" s="120"/>
      <c r="V204" s="71">
        <f t="shared" si="32"/>
        <v>0</v>
      </c>
      <c r="W204" s="77"/>
      <c r="X204" s="77"/>
      <c r="Y204" s="146"/>
      <c r="Z204" s="145"/>
      <c r="AA204" s="193"/>
      <c r="AB204" s="552" t="str">
        <f t="shared" si="35"/>
        <v/>
      </c>
    </row>
    <row r="205" spans="1:28" ht="13.35" customHeight="1" x14ac:dyDescent="0.2">
      <c r="A205">
        <v>6</v>
      </c>
      <c r="B205">
        <v>27</v>
      </c>
      <c r="C205" s="55">
        <f>DATE(Anno,6,27)</f>
        <v>45835</v>
      </c>
      <c r="D205" s="51">
        <f t="shared" si="33"/>
        <v>45835</v>
      </c>
      <c r="E205" s="118"/>
      <c r="F205" s="123"/>
      <c r="G205" s="120"/>
      <c r="H205" s="120"/>
      <c r="I205" s="71">
        <f t="shared" si="30"/>
        <v>0</v>
      </c>
      <c r="J205" s="71"/>
      <c r="K205" s="71"/>
      <c r="L205" s="135"/>
      <c r="M205" s="134"/>
      <c r="N205" s="196"/>
      <c r="O205" s="536" t="str">
        <f t="shared" si="31"/>
        <v/>
      </c>
      <c r="P205" s="55">
        <f>DATE(Anno,12,27)</f>
        <v>46018</v>
      </c>
      <c r="Q205" s="51">
        <f t="shared" si="34"/>
        <v>46018</v>
      </c>
      <c r="R205" s="118"/>
      <c r="S205" s="140"/>
      <c r="T205" s="120"/>
      <c r="U205" s="120"/>
      <c r="V205" s="71">
        <f t="shared" si="32"/>
        <v>0</v>
      </c>
      <c r="W205" s="84"/>
      <c r="X205" s="84"/>
      <c r="Y205" s="147"/>
      <c r="Z205" s="145"/>
      <c r="AA205" s="193"/>
      <c r="AB205" s="552" t="str">
        <f t="shared" si="35"/>
        <v/>
      </c>
    </row>
    <row r="206" spans="1:28" ht="13.35" customHeight="1" thickBot="1" x14ac:dyDescent="0.25">
      <c r="A206">
        <v>6</v>
      </c>
      <c r="B206">
        <v>28</v>
      </c>
      <c r="C206" s="55">
        <f>DATE(Anno,6,28)</f>
        <v>45836</v>
      </c>
      <c r="D206" s="51">
        <f t="shared" si="33"/>
        <v>45836</v>
      </c>
      <c r="E206" s="118"/>
      <c r="F206" s="119"/>
      <c r="G206" s="120"/>
      <c r="H206" s="120"/>
      <c r="I206" s="71">
        <f t="shared" si="30"/>
        <v>0</v>
      </c>
      <c r="J206" s="71"/>
      <c r="K206" s="71"/>
      <c r="L206" s="135"/>
      <c r="M206" s="134"/>
      <c r="N206" s="196"/>
      <c r="O206" s="536" t="str">
        <f t="shared" si="31"/>
        <v/>
      </c>
      <c r="P206" s="55">
        <f>DATE(Anno,12,28)</f>
        <v>46019</v>
      </c>
      <c r="Q206" s="51">
        <f t="shared" si="34"/>
        <v>46019</v>
      </c>
      <c r="R206" s="118"/>
      <c r="S206" s="140"/>
      <c r="T206" s="120"/>
      <c r="U206" s="120"/>
      <c r="V206" s="71">
        <f t="shared" si="32"/>
        <v>0</v>
      </c>
      <c r="W206" s="84"/>
      <c r="X206" s="84"/>
      <c r="Y206" s="147"/>
      <c r="Z206" s="145"/>
      <c r="AA206" s="193"/>
      <c r="AB206" s="552" t="str">
        <f t="shared" si="35"/>
        <v/>
      </c>
    </row>
    <row r="207" spans="1:28" ht="13.35" customHeight="1" x14ac:dyDescent="0.2">
      <c r="A207">
        <v>6</v>
      </c>
      <c r="B207">
        <v>29</v>
      </c>
      <c r="C207" s="55">
        <f>DATE(Anno,6,29)</f>
        <v>45837</v>
      </c>
      <c r="D207" s="51">
        <f t="shared" si="33"/>
        <v>45837</v>
      </c>
      <c r="E207" s="118"/>
      <c r="F207" s="123"/>
      <c r="G207" s="120"/>
      <c r="H207" s="120"/>
      <c r="I207" s="71">
        <f t="shared" si="30"/>
        <v>0</v>
      </c>
      <c r="J207" s="494" t="s">
        <v>131</v>
      </c>
      <c r="K207" s="211"/>
      <c r="L207" s="129"/>
      <c r="M207" s="134"/>
      <c r="N207" s="196"/>
      <c r="O207" s="536" t="str">
        <f t="shared" si="31"/>
        <v/>
      </c>
      <c r="P207" s="55">
        <f>DATE(Anno,12,29)</f>
        <v>46020</v>
      </c>
      <c r="Q207" s="51">
        <f t="shared" si="34"/>
        <v>46020</v>
      </c>
      <c r="R207" s="118"/>
      <c r="S207" s="139"/>
      <c r="T207" s="120"/>
      <c r="U207" s="120"/>
      <c r="V207" s="71">
        <f t="shared" si="32"/>
        <v>0</v>
      </c>
      <c r="W207" s="494" t="s">
        <v>131</v>
      </c>
      <c r="X207" s="211"/>
      <c r="Y207" s="144"/>
      <c r="Z207" s="160"/>
      <c r="AA207" s="194"/>
      <c r="AB207" s="552" t="str">
        <f t="shared" si="35"/>
        <v/>
      </c>
    </row>
    <row r="208" spans="1:28" ht="13.35" customHeight="1" thickBot="1" x14ac:dyDescent="0.25">
      <c r="A208">
        <v>6</v>
      </c>
      <c r="B208">
        <v>30</v>
      </c>
      <c r="C208" s="55">
        <f>DATE(Anno,6,30)</f>
        <v>45838</v>
      </c>
      <c r="D208" s="51">
        <f t="shared" si="33"/>
        <v>45838</v>
      </c>
      <c r="E208" s="118"/>
      <c r="F208" s="123"/>
      <c r="G208" s="120"/>
      <c r="H208" s="120"/>
      <c r="I208" s="71">
        <f t="shared" si="30"/>
        <v>0</v>
      </c>
      <c r="J208" s="496"/>
      <c r="K208" s="214"/>
      <c r="L208" s="129"/>
      <c r="M208" s="134"/>
      <c r="N208" s="196"/>
      <c r="O208" s="536" t="str">
        <f t="shared" si="31"/>
        <v/>
      </c>
      <c r="P208" s="55">
        <f>DATE(Anno,12,30)</f>
        <v>46021</v>
      </c>
      <c r="Q208" s="51">
        <f t="shared" si="34"/>
        <v>46021</v>
      </c>
      <c r="R208" s="118"/>
      <c r="S208" s="139"/>
      <c r="T208" s="120"/>
      <c r="U208" s="120"/>
      <c r="V208" s="71">
        <f t="shared" si="32"/>
        <v>0</v>
      </c>
      <c r="W208" s="496"/>
      <c r="X208" s="214"/>
      <c r="Y208" s="144"/>
      <c r="Z208" s="160"/>
      <c r="AA208" s="194"/>
      <c r="AB208" s="552" t="str">
        <f t="shared" si="35"/>
        <v/>
      </c>
    </row>
    <row r="209" spans="1:28" ht="13.35" customHeight="1" thickBot="1" x14ac:dyDescent="0.25">
      <c r="A209">
        <v>6</v>
      </c>
      <c r="B209">
        <v>31</v>
      </c>
      <c r="C209" s="63"/>
      <c r="D209" s="64"/>
      <c r="E209" s="163"/>
      <c r="F209" s="180"/>
      <c r="G209" s="165"/>
      <c r="H209" s="165"/>
      <c r="I209" s="233" t="str">
        <f t="shared" si="30"/>
        <v/>
      </c>
      <c r="J209" s="234">
        <f>SUM(I179:I209)</f>
        <v>0</v>
      </c>
      <c r="K209" s="269">
        <f>ROUNDDOWN((30*38)/7,0)</f>
        <v>162</v>
      </c>
      <c r="L209" s="181"/>
      <c r="M209" s="182"/>
      <c r="N209" s="199"/>
      <c r="O209" s="536" t="str">
        <f t="shared" si="31"/>
        <v/>
      </c>
      <c r="P209" s="56">
        <f>DATE(Anno,12,31)</f>
        <v>46022</v>
      </c>
      <c r="Q209" s="57">
        <f t="shared" si="34"/>
        <v>46022</v>
      </c>
      <c r="R209" s="124"/>
      <c r="S209" s="141"/>
      <c r="T209" s="126"/>
      <c r="U209" s="126"/>
      <c r="V209" s="229">
        <f t="shared" si="32"/>
        <v>0</v>
      </c>
      <c r="W209" s="250">
        <f>SUM(V179:V209)</f>
        <v>0</v>
      </c>
      <c r="X209" s="269">
        <f>ROUNDDOWN((31*38)/7,0)</f>
        <v>168</v>
      </c>
      <c r="Y209" s="148"/>
      <c r="Z209" s="149"/>
      <c r="AA209" s="251"/>
      <c r="AB209" s="553" t="str">
        <f>IF(R209="d","1","")&amp;IF(R209="P","1","")&amp;IF(R209="FL","1","")&amp;IF(R209="IL","1","")&amp;IF(R209="V","1","")</f>
        <v/>
      </c>
    </row>
    <row r="210" spans="1:28" ht="13.35" customHeight="1" thickBot="1" x14ac:dyDescent="0.25">
      <c r="C210" s="488"/>
      <c r="D210" s="489"/>
      <c r="E210" s="489"/>
      <c r="F210" s="489"/>
      <c r="G210" s="489"/>
      <c r="H210" s="489"/>
      <c r="I210" s="489"/>
      <c r="J210" s="79"/>
      <c r="K210" s="79"/>
      <c r="L210" s="79"/>
      <c r="M210" s="65"/>
      <c r="N210" s="266" t="s">
        <v>188</v>
      </c>
      <c r="O210" s="539">
        <f>COUNTIF(O179:O209,"1")</f>
        <v>0</v>
      </c>
      <c r="P210" s="490"/>
      <c r="Q210" s="490"/>
      <c r="R210" s="490"/>
      <c r="S210" s="490"/>
      <c r="T210" s="490"/>
      <c r="U210" s="490"/>
      <c r="V210" s="490"/>
      <c r="W210" s="85"/>
      <c r="X210" s="85"/>
      <c r="Y210" s="85"/>
      <c r="Z210" s="67"/>
      <c r="AA210" s="263" t="s">
        <v>188</v>
      </c>
      <c r="AB210" s="550">
        <f>COUNTIF(AB179:AB209,"1")</f>
        <v>0</v>
      </c>
    </row>
    <row r="212" spans="1:28" ht="12.75" hidden="1" customHeight="1" x14ac:dyDescent="0.2"/>
  </sheetData>
  <sheetProtection algorithmName="SHA-512" hashValue="GQJjwT1cUfbcKyIfprOeYDeEnxov+7OcV8hIqP30MlB6IUqxflhmZ00DVIzS+ikrdY38IYMEJCp/qcsrG9lrEQ==" saltValue="h6epkl1MALpZ5S08appCpw==" spinCount="100000" sheet="1" objects="1" scenarios="1"/>
  <mergeCells count="162">
    <mergeCell ref="AB177:AB178"/>
    <mergeCell ref="P177:P178"/>
    <mergeCell ref="Q177:Q178"/>
    <mergeCell ref="Z177:Z178"/>
    <mergeCell ref="Y142:Y143"/>
    <mergeCell ref="J177:J178"/>
    <mergeCell ref="L177:L178"/>
    <mergeCell ref="W177:W178"/>
    <mergeCell ref="Y177:Y178"/>
    <mergeCell ref="O177:O178"/>
    <mergeCell ref="AA177:AA178"/>
    <mergeCell ref="R177:R178"/>
    <mergeCell ref="K177:K178"/>
    <mergeCell ref="X177:X178"/>
    <mergeCell ref="N177:N178"/>
    <mergeCell ref="W142:W143"/>
    <mergeCell ref="K142:K143"/>
    <mergeCell ref="X142:X143"/>
    <mergeCell ref="J172:J173"/>
    <mergeCell ref="AB142:AB143"/>
    <mergeCell ref="AA142:AA143"/>
    <mergeCell ref="W207:W208"/>
    <mergeCell ref="W172:W173"/>
    <mergeCell ref="W137:W138"/>
    <mergeCell ref="W102:W103"/>
    <mergeCell ref="W67:W68"/>
    <mergeCell ref="S177:S178"/>
    <mergeCell ref="V177:V178"/>
    <mergeCell ref="P105:V105"/>
    <mergeCell ref="O107:O108"/>
    <mergeCell ref="O142:O143"/>
    <mergeCell ref="P70:V70"/>
    <mergeCell ref="J37:J38"/>
    <mergeCell ref="L37:L38"/>
    <mergeCell ref="O37:O38"/>
    <mergeCell ref="AB2:AB3"/>
    <mergeCell ref="N2:N3"/>
    <mergeCell ref="I2:I3"/>
    <mergeCell ref="J2:J3"/>
    <mergeCell ref="L2:L3"/>
    <mergeCell ref="Z2:Z3"/>
    <mergeCell ref="K2:K3"/>
    <mergeCell ref="AA2:AA3"/>
    <mergeCell ref="X2:X3"/>
    <mergeCell ref="AB37:AB38"/>
    <mergeCell ref="Y2:Y3"/>
    <mergeCell ref="C2:C3"/>
    <mergeCell ref="D2:D3"/>
    <mergeCell ref="M2:M3"/>
    <mergeCell ref="E2:E3"/>
    <mergeCell ref="F2:F3"/>
    <mergeCell ref="J32:J33"/>
    <mergeCell ref="W32:W33"/>
    <mergeCell ref="C35:I35"/>
    <mergeCell ref="W2:W3"/>
    <mergeCell ref="V2:V3"/>
    <mergeCell ref="P35:V35"/>
    <mergeCell ref="P2:P3"/>
    <mergeCell ref="Q2:Q3"/>
    <mergeCell ref="R2:R3"/>
    <mergeCell ref="S2:S3"/>
    <mergeCell ref="O2:O3"/>
    <mergeCell ref="AE13:AF13"/>
    <mergeCell ref="AE12:AF12"/>
    <mergeCell ref="I37:I38"/>
    <mergeCell ref="R107:R108"/>
    <mergeCell ref="Q107:Q108"/>
    <mergeCell ref="AA37:AA38"/>
    <mergeCell ref="AA72:AA73"/>
    <mergeCell ref="AA107:AA108"/>
    <mergeCell ref="Y37:Y38"/>
    <mergeCell ref="R72:R73"/>
    <mergeCell ref="S72:S73"/>
    <mergeCell ref="V72:V73"/>
    <mergeCell ref="Z72:Z73"/>
    <mergeCell ref="Q37:Q38"/>
    <mergeCell ref="R37:R38"/>
    <mergeCell ref="S37:S38"/>
    <mergeCell ref="V37:V38"/>
    <mergeCell ref="Z37:Z38"/>
    <mergeCell ref="W72:W73"/>
    <mergeCell ref="Y72:Y73"/>
    <mergeCell ref="W37:W38"/>
    <mergeCell ref="N37:N38"/>
    <mergeCell ref="K37:K38"/>
    <mergeCell ref="X37:X38"/>
    <mergeCell ref="N72:N73"/>
    <mergeCell ref="N107:N108"/>
    <mergeCell ref="N142:N143"/>
    <mergeCell ref="J142:J143"/>
    <mergeCell ref="L142:L143"/>
    <mergeCell ref="P142:P143"/>
    <mergeCell ref="Q142:Q143"/>
    <mergeCell ref="AB72:AB73"/>
    <mergeCell ref="P72:P73"/>
    <mergeCell ref="Q72:Q73"/>
    <mergeCell ref="M107:M108"/>
    <mergeCell ref="J107:J108"/>
    <mergeCell ref="L107:L108"/>
    <mergeCell ref="X72:X73"/>
    <mergeCell ref="K72:K73"/>
    <mergeCell ref="K107:K108"/>
    <mergeCell ref="W107:W108"/>
    <mergeCell ref="Y107:Y108"/>
    <mergeCell ref="Z107:Z108"/>
    <mergeCell ref="Z142:Z143"/>
    <mergeCell ref="AB107:AB108"/>
    <mergeCell ref="X107:X108"/>
    <mergeCell ref="O72:O73"/>
    <mergeCell ref="I107:I108"/>
    <mergeCell ref="I142:I143"/>
    <mergeCell ref="M142:M143"/>
    <mergeCell ref="J137:J138"/>
    <mergeCell ref="P140:V140"/>
    <mergeCell ref="S107:S108"/>
    <mergeCell ref="V107:V108"/>
    <mergeCell ref="J102:J103"/>
    <mergeCell ref="C105:I105"/>
    <mergeCell ref="F107:F108"/>
    <mergeCell ref="R142:R143"/>
    <mergeCell ref="AD10:AF11"/>
    <mergeCell ref="AE16:AF16"/>
    <mergeCell ref="AE15:AF15"/>
    <mergeCell ref="AE14:AF14"/>
    <mergeCell ref="C107:C108"/>
    <mergeCell ref="E107:E108"/>
    <mergeCell ref="C37:C38"/>
    <mergeCell ref="M37:M38"/>
    <mergeCell ref="D37:D38"/>
    <mergeCell ref="F72:F73"/>
    <mergeCell ref="C72:C73"/>
    <mergeCell ref="I72:I73"/>
    <mergeCell ref="E72:E73"/>
    <mergeCell ref="M72:M73"/>
    <mergeCell ref="J72:J73"/>
    <mergeCell ref="L72:L73"/>
    <mergeCell ref="D72:D73"/>
    <mergeCell ref="C70:I70"/>
    <mergeCell ref="E37:E38"/>
    <mergeCell ref="J67:J68"/>
    <mergeCell ref="F37:F38"/>
    <mergeCell ref="P37:P38"/>
    <mergeCell ref="D107:D108"/>
    <mergeCell ref="P107:P108"/>
    <mergeCell ref="C210:I210"/>
    <mergeCell ref="P210:V210"/>
    <mergeCell ref="C175:I175"/>
    <mergeCell ref="P175:V175"/>
    <mergeCell ref="C140:I140"/>
    <mergeCell ref="F142:F143"/>
    <mergeCell ref="S142:S143"/>
    <mergeCell ref="V142:V143"/>
    <mergeCell ref="I177:I178"/>
    <mergeCell ref="M177:M178"/>
    <mergeCell ref="C177:C178"/>
    <mergeCell ref="D177:D178"/>
    <mergeCell ref="E177:E178"/>
    <mergeCell ref="F177:F178"/>
    <mergeCell ref="C142:C143"/>
    <mergeCell ref="D142:D143"/>
    <mergeCell ref="E142:E143"/>
    <mergeCell ref="J207:J208"/>
  </mergeCells>
  <phoneticPr fontId="26" type="noConversion"/>
  <conditionalFormatting sqref="C35">
    <cfRule type="expression" dxfId="17" priority="11" stopIfTrue="1">
      <formula>COUNTIF(Festivita,$C35)</formula>
    </cfRule>
    <cfRule type="expression" dxfId="16" priority="12" stopIfTrue="1">
      <formula>WEEKDAY(C35)=1</formula>
    </cfRule>
  </conditionalFormatting>
  <conditionalFormatting sqref="C70">
    <cfRule type="expression" dxfId="15" priority="13" stopIfTrue="1">
      <formula>COUNTIF(Festivita,$C70)</formula>
    </cfRule>
    <cfRule type="expression" dxfId="14" priority="14" stopIfTrue="1">
      <formula>WEEKDAY(C70)=1</formula>
    </cfRule>
  </conditionalFormatting>
  <conditionalFormatting sqref="C105">
    <cfRule type="expression" dxfId="13" priority="15" stopIfTrue="1">
      <formula>COUNTIF(Festivita,$C105)</formula>
    </cfRule>
    <cfRule type="expression" dxfId="12" priority="16" stopIfTrue="1">
      <formula>WEEKDAY(C105)=1</formula>
    </cfRule>
  </conditionalFormatting>
  <conditionalFormatting sqref="C140">
    <cfRule type="expression" dxfId="11" priority="17" stopIfTrue="1">
      <formula>COUNTIF(Festivita,$C140)</formula>
    </cfRule>
    <cfRule type="expression" dxfId="10" priority="18" stopIfTrue="1">
      <formula>WEEKDAY(C140)=1</formula>
    </cfRule>
  </conditionalFormatting>
  <conditionalFormatting sqref="C175">
    <cfRule type="expression" dxfId="9" priority="19" stopIfTrue="1">
      <formula>COUNTIF(Festivita,$C175)</formula>
    </cfRule>
    <cfRule type="expression" dxfId="8" priority="20" stopIfTrue="1">
      <formula>WEEKDAY(C175)=1</formula>
    </cfRule>
  </conditionalFormatting>
  <conditionalFormatting sqref="D4:D34 D39:D66 D74:D104 D109:D139">
    <cfRule type="expression" dxfId="7" priority="39" stopIfTrue="1">
      <formula>COUNTIF(Festivita,$C4)</formula>
    </cfRule>
  </conditionalFormatting>
  <conditionalFormatting sqref="D4:D34 D39:D69 D74:D104 D109:D139">
    <cfRule type="expression" dxfId="6" priority="66" stopIfTrue="1">
      <formula>WEEKDAY(D4)=1</formula>
    </cfRule>
  </conditionalFormatting>
  <conditionalFormatting sqref="D144:D174">
    <cfRule type="expression" dxfId="5" priority="37" stopIfTrue="1">
      <formula>COUNTIF(Festivita,$C144)</formula>
    </cfRule>
    <cfRule type="expression" dxfId="4" priority="38" stopIfTrue="1">
      <formula>WEEKDAY(D144)=1</formula>
    </cfRule>
  </conditionalFormatting>
  <conditionalFormatting sqref="D179:D208 C209:D209 C210">
    <cfRule type="expression" dxfId="3" priority="35" stopIfTrue="1">
      <formula>COUNTIF(Festivita,$C179)</formula>
    </cfRule>
    <cfRule type="expression" dxfId="2" priority="36" stopIfTrue="1">
      <formula>WEEKDAY(C179)=1</formula>
    </cfRule>
  </conditionalFormatting>
  <conditionalFormatting sqref="Q4:Q34 Q39:Q69 Q74:Q104 Q109:Q139 Q144:Q174 Q179:Q209">
    <cfRule type="expression" dxfId="1" priority="1" stopIfTrue="1">
      <formula>COUNTIF(Festivita,$P4)</formula>
    </cfRule>
    <cfRule type="expression" dxfId="0" priority="2" stopIfTrue="1">
      <formula>WEEKDAY(Q4)=1</formula>
    </cfRule>
  </conditionalFormatting>
  <dataValidations xWindow="152" yWindow="380" count="1">
    <dataValidation type="list" allowBlank="1" showErrorMessage="1" errorTitle="Dati non Validi" error="Hai inserito un tipo di servizio non valido!_x000a_Selezionane uno dalla tabella Tipi di Servizi" promptTitle="Seleziona il tipo di servizio" prompt=" P/d/R/I/IL/C" sqref="E4:E34 E39:E69 E74:E104 E109:E139 E144:E174 E179:E209 R179:R209 R39:R69 R74:R104 R109:R139 R144:R174 R4:R34" xr:uid="{00000000-0002-0000-0300-000000000000}">
      <formula1>$AD$12:$AD$33</formula1>
    </dataValidation>
  </dataValidations>
  <pageMargins left="0.11811023622047245" right="3.937007874015748E-2" top="0.43307086614173229" bottom="0.43307086614173229" header="0" footer="0"/>
  <pageSetup paperSize="9" scale="4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74861-495B-4FBB-A50C-88E4DAA02D8F}">
  <dimension ref="B1:F14"/>
  <sheetViews>
    <sheetView showGridLines="0" showRowColHeaders="0" topLeftCell="B2" zoomScale="131" zoomScaleNormal="120" workbookViewId="0">
      <selection activeCell="C4" sqref="C4"/>
    </sheetView>
  </sheetViews>
  <sheetFormatPr defaultColWidth="0" defaultRowHeight="12.75" zeroHeight="1" x14ac:dyDescent="0.2"/>
  <cols>
    <col min="1" max="1" width="9.140625" hidden="1" customWidth="1"/>
    <col min="2" max="2" width="9.140625" customWidth="1"/>
    <col min="3" max="3" width="11.42578125" bestFit="1" customWidth="1"/>
    <col min="4" max="4" width="9" bestFit="1" customWidth="1"/>
    <col min="5" max="5" width="8.85546875" customWidth="1"/>
    <col min="6" max="6" width="15.28515625" hidden="1" customWidth="1"/>
    <col min="7" max="16384" width="9.140625" hidden="1"/>
  </cols>
  <sheetData>
    <row r="1" spans="2:5" ht="48" hidden="1" customHeight="1" x14ac:dyDescent="0.2"/>
    <row r="2" spans="2:5" ht="13.5" thickBot="1" x14ac:dyDescent="0.25">
      <c r="B2" s="528" t="s">
        <v>147</v>
      </c>
      <c r="C2" s="528"/>
      <c r="D2" s="528"/>
      <c r="E2" s="528"/>
    </row>
    <row r="3" spans="2:5" x14ac:dyDescent="0.2">
      <c r="B3" s="204" t="s">
        <v>148</v>
      </c>
      <c r="C3" s="205" t="s">
        <v>150</v>
      </c>
      <c r="D3" s="205" t="s">
        <v>151</v>
      </c>
      <c r="E3" s="206" t="s">
        <v>149</v>
      </c>
    </row>
    <row r="4" spans="2:5" x14ac:dyDescent="0.2">
      <c r="B4" s="207">
        <v>1</v>
      </c>
      <c r="C4" s="216"/>
      <c r="D4" s="216"/>
      <c r="E4" s="529">
        <f>IF(D4&lt;C4,MOD(D4-C4,1),D4-C4)</f>
        <v>0</v>
      </c>
    </row>
    <row r="5" spans="2:5" x14ac:dyDescent="0.2">
      <c r="B5" s="207">
        <v>2</v>
      </c>
      <c r="C5" s="216"/>
      <c r="D5" s="216"/>
      <c r="E5" s="529">
        <f t="shared" ref="E5:E9" si="0">IF(D5&lt;C5,MOD(D5-C5,1),D5-C5)</f>
        <v>0</v>
      </c>
    </row>
    <row r="6" spans="2:5" x14ac:dyDescent="0.2">
      <c r="B6" s="207">
        <v>3</v>
      </c>
      <c r="C6" s="216"/>
      <c r="D6" s="216"/>
      <c r="E6" s="529">
        <f t="shared" si="0"/>
        <v>0</v>
      </c>
    </row>
    <row r="7" spans="2:5" x14ac:dyDescent="0.2">
      <c r="B7" s="207">
        <v>4</v>
      </c>
      <c r="C7" s="216"/>
      <c r="D7" s="216"/>
      <c r="E7" s="529">
        <f t="shared" si="0"/>
        <v>0</v>
      </c>
    </row>
    <row r="8" spans="2:5" x14ac:dyDescent="0.2">
      <c r="B8" s="207">
        <v>5</v>
      </c>
      <c r="C8" s="216"/>
      <c r="D8" s="216"/>
      <c r="E8" s="529">
        <f t="shared" si="0"/>
        <v>0</v>
      </c>
    </row>
    <row r="9" spans="2:5" ht="13.5" thickBot="1" x14ac:dyDescent="0.25">
      <c r="B9" s="208">
        <v>6</v>
      </c>
      <c r="C9" s="217"/>
      <c r="D9" s="217"/>
      <c r="E9" s="530">
        <f t="shared" si="0"/>
        <v>0</v>
      </c>
    </row>
    <row r="10" spans="2:5" ht="13.5" thickBot="1" x14ac:dyDescent="0.25">
      <c r="E10" s="531">
        <f>SUM(E5:E9)</f>
        <v>0</v>
      </c>
    </row>
    <row r="11" spans="2:5" hidden="1" x14ac:dyDescent="0.2">
      <c r="E11" s="209"/>
    </row>
    <row r="12" spans="2:5" hidden="1" x14ac:dyDescent="0.2">
      <c r="E12" s="209"/>
    </row>
    <row r="13" spans="2:5" hidden="1" x14ac:dyDescent="0.2">
      <c r="E13" s="209"/>
    </row>
    <row r="14" spans="2:5" hidden="1" x14ac:dyDescent="0.2">
      <c r="E14" s="209"/>
    </row>
  </sheetData>
  <sheetProtection algorithmName="SHA-512" hashValue="JY0T2dB7QM3BYNwGWJMZ+UndX1usZ09+j3NwPZdr1wDkVws5M//DbpyDh1YA2WdzDSuld07C+pXHrJEGR2AOsA==" saltValue="Z2CBuaKQE06pZSXgGN0zwg==" spinCount="100000" sheet="1" objects="1" scenarios="1"/>
  <mergeCells count="1">
    <mergeCell ref="B2:E2"/>
  </mergeCells>
  <pageMargins left="0.7" right="0.7" top="0.75" bottom="0.75" header="0.3" footer="0.3"/>
  <pageSetup paperSize="9" orientation="portrait" r:id="rId1"/>
  <ignoredErrors>
    <ignoredError sqref="E4: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5</vt:i4>
      </vt:variant>
    </vt:vector>
  </HeadingPairs>
  <TitlesOfParts>
    <vt:vector size="11" baseType="lpstr">
      <vt:lpstr>Manuale</vt:lpstr>
      <vt:lpstr>Festività</vt:lpstr>
      <vt:lpstr>Tipologie</vt:lpstr>
      <vt:lpstr>Presenze</vt:lpstr>
      <vt:lpstr>Diario</vt:lpstr>
      <vt:lpstr>OreSettimana</vt:lpstr>
      <vt:lpstr>Anno</vt:lpstr>
      <vt:lpstr>Diario!Area_stampa</vt:lpstr>
      <vt:lpstr>Presenze!Area_stampa</vt:lpstr>
      <vt:lpstr>Festivita</vt:lpstr>
      <vt:lpstr>Festività!Patrono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Imperato</dc:creator>
  <cp:lastModifiedBy>MARCO IMPERATO</cp:lastModifiedBy>
  <cp:lastPrinted>2024-02-02T18:49:54Z</cp:lastPrinted>
  <dcterms:created xsi:type="dcterms:W3CDTF">2004-06-06T13:25:18Z</dcterms:created>
  <dcterms:modified xsi:type="dcterms:W3CDTF">2024-02-26T16:01:58Z</dcterms:modified>
</cp:coreProperties>
</file>